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20" yWindow="120" windowWidth="26960" windowHeight="25640" activeTab="0"/>
  </bookViews>
  <sheets>
    <sheet name="Erläuterung" sheetId="1" r:id="rId1"/>
    <sheet name="Zusammenfassung" sheetId="2" r:id="rId2"/>
    <sheet name="Bodenbelag" sheetId="3" r:id="rId3"/>
    <sheet name="Wandbelag" sheetId="4" r:id="rId4"/>
    <sheet name="Sanitärobjekte" sheetId="5" r:id="rId5"/>
    <sheet name="Eigenleistungen" sheetId="6" r:id="rId6"/>
    <sheet name="Küche" sheetId="7" r:id="rId7"/>
  </sheets>
  <definedNames>
    <definedName name="_xlnm.Print_Area" localSheetId="1">'Zusammenfassung'!$A$1:$F$128</definedName>
  </definedNames>
  <calcPr fullCalcOnLoad="1"/>
</workbook>
</file>

<file path=xl/comments2.xml><?xml version="1.0" encoding="utf-8"?>
<comments xmlns="http://schemas.openxmlformats.org/spreadsheetml/2006/main">
  <authors>
    <author>Olaf Schmitz</author>
  </authors>
  <commentList>
    <comment ref="B14" authorId="0">
      <text>
        <r>
          <rPr>
            <b/>
            <sz val="8"/>
            <rFont val="Tahoma"/>
            <family val="0"/>
          </rPr>
          <t>Olaf Schmitz:</t>
        </r>
        <r>
          <rPr>
            <sz val="8"/>
            <rFont val="Tahoma"/>
            <family val="0"/>
          </rPr>
          <t xml:space="preserve">
Strom, Wasser und Abwasser</t>
        </r>
      </text>
    </comment>
    <comment ref="B22" authorId="0">
      <text>
        <r>
          <rPr>
            <b/>
            <sz val="8"/>
            <rFont val="Tahoma"/>
            <family val="0"/>
          </rPr>
          <t>Olaf Schmitz:</t>
        </r>
        <r>
          <rPr>
            <sz val="8"/>
            <rFont val="Tahoma"/>
            <family val="0"/>
          </rPr>
          <t xml:space="preserve">
Diffusion unter Balken; Kellerboden dämmen / Diffusion</t>
        </r>
      </text>
    </comment>
    <comment ref="B24" authorId="0">
      <text>
        <r>
          <rPr>
            <b/>
            <sz val="8"/>
            <rFont val="Tahoma"/>
            <family val="0"/>
          </rPr>
          <t>Olaf Schmitz:</t>
        </r>
        <r>
          <rPr>
            <sz val="8"/>
            <rFont val="Tahoma"/>
            <family val="0"/>
          </rPr>
          <t xml:space="preserve">
Diffusion unter Balken; Kellerboden dämmen / Diffusion</t>
        </r>
      </text>
    </comment>
    <comment ref="B76" authorId="0">
      <text>
        <r>
          <rPr>
            <b/>
            <sz val="8"/>
            <rFont val="Tahoma"/>
            <family val="0"/>
          </rPr>
          <t>Olaf Schmitz:</t>
        </r>
        <r>
          <rPr>
            <sz val="8"/>
            <rFont val="Tahoma"/>
            <family val="0"/>
          </rPr>
          <t xml:space="preserve">
Marktanreizprogramm Förderung Wärmepumpen 2008 BUND</t>
        </r>
      </text>
    </comment>
    <comment ref="B77" authorId="0">
      <text>
        <r>
          <rPr>
            <b/>
            <sz val="8"/>
            <rFont val="Tahoma"/>
            <family val="0"/>
          </rPr>
          <t>Olaf Schmitz:</t>
        </r>
        <r>
          <rPr>
            <sz val="8"/>
            <rFont val="Tahoma"/>
            <family val="0"/>
          </rPr>
          <t xml:space="preserve">
Marktanreizprogramm BUND: Solarkollektor 105 pro m² plus EUR 750</t>
        </r>
      </text>
    </comment>
    <comment ref="B13" authorId="0">
      <text>
        <r>
          <rPr>
            <b/>
            <sz val="8"/>
            <rFont val="Tahoma"/>
            <family val="0"/>
          </rPr>
          <t>Olaf Schmitz:</t>
        </r>
        <r>
          <rPr>
            <sz val="8"/>
            <rFont val="Tahoma"/>
            <family val="0"/>
          </rPr>
          <t xml:space="preserve">
Strom, Wasser und Abwasser</t>
        </r>
      </text>
    </comment>
  </commentList>
</comments>
</file>

<file path=xl/comments6.xml><?xml version="1.0" encoding="utf-8"?>
<comments xmlns="http://schemas.openxmlformats.org/spreadsheetml/2006/main">
  <authors>
    <author>Schmitz, Olaf</author>
  </authors>
  <commentList>
    <comment ref="B53" authorId="0">
      <text>
        <r>
          <rPr>
            <b/>
            <sz val="9"/>
            <rFont val="Arial"/>
            <family val="0"/>
          </rPr>
          <t>Schmitz, Olaf:</t>
        </r>
        <r>
          <rPr>
            <sz val="9"/>
            <rFont val="Arial"/>
            <family val="0"/>
          </rPr>
          <t xml:space="preserve">
hier habe ich alle Wandbeläge (siehe Wand Kennzeichnung) zusammengefasst</t>
        </r>
      </text>
    </comment>
  </commentList>
</comments>
</file>

<file path=xl/sharedStrings.xml><?xml version="1.0" encoding="utf-8"?>
<sst xmlns="http://schemas.openxmlformats.org/spreadsheetml/2006/main" count="580" uniqueCount="329">
  <si>
    <t>Elektroinstallation</t>
  </si>
  <si>
    <t>Telefoninstallation</t>
  </si>
  <si>
    <t>SAT Installation</t>
  </si>
  <si>
    <t>Fußbodenheizung</t>
  </si>
  <si>
    <t>Sanitärobjekte</t>
  </si>
  <si>
    <t>Solar</t>
  </si>
  <si>
    <t>Wasserspeicher</t>
  </si>
  <si>
    <t>Wandunterkonstruktion</t>
  </si>
  <si>
    <t>Aufwand Bodenbeläge</t>
  </si>
  <si>
    <t>Architekt</t>
  </si>
  <si>
    <t>Statiker</t>
  </si>
  <si>
    <t>Dachziegel</t>
  </si>
  <si>
    <t>Dacheindeckung</t>
  </si>
  <si>
    <t>Blower-Door Test</t>
  </si>
  <si>
    <t>Anlieferung Bausatz</t>
  </si>
  <si>
    <t>Rauchmelder</t>
  </si>
  <si>
    <t>in Elektro</t>
  </si>
  <si>
    <t>in Aufbau</t>
  </si>
  <si>
    <t>Küche</t>
  </si>
  <si>
    <t>Glasplatte Küche / Weinkeller in Decke</t>
  </si>
  <si>
    <t>Nebenkosten</t>
  </si>
  <si>
    <t>Carport (inkl. Schuppen und Fundamente)</t>
  </si>
  <si>
    <t>Hausanschlüsse von Strasse in Gebäude</t>
  </si>
  <si>
    <t>Verrohrung unter Bodenplatte</t>
  </si>
  <si>
    <t>Kosten Grundstück</t>
  </si>
  <si>
    <t>Grunderwerbsteuer</t>
  </si>
  <si>
    <t>Notargebühren Erwerb</t>
  </si>
  <si>
    <t>Gebühren Grundbuchamt f. Grundschuld</t>
  </si>
  <si>
    <t>Gebühren Grundbuchamt f. Erwerb</t>
  </si>
  <si>
    <t>Vermessungs- und Verfahrensgebühren</t>
  </si>
  <si>
    <t>Kontrollschächte</t>
  </si>
  <si>
    <t>sonstige Kosten (Reserve)</t>
  </si>
  <si>
    <t>Kosten Hausbau</t>
  </si>
  <si>
    <t>Aussenanlagen</t>
  </si>
  <si>
    <t>Aufwand Wandfliesen inkl. Unterkonstruktion</t>
  </si>
  <si>
    <t>Aufwand Wände verputzen / streichen</t>
  </si>
  <si>
    <t>m²</t>
  </si>
  <si>
    <t>Aussenanlagen (Material Befestigung)</t>
  </si>
  <si>
    <t>Aussenanlagen (Material Begrenzung)</t>
  </si>
  <si>
    <t>Aussenanlagen (Material Pflanzung)</t>
  </si>
  <si>
    <t>Dachrinnen, -entwässerung (Klempner)</t>
  </si>
  <si>
    <t>Kellertreppe (Innen)</t>
  </si>
  <si>
    <t>Holztreppe (Innen)</t>
  </si>
  <si>
    <t>Geländer (Treppe und Luftraum)</t>
  </si>
  <si>
    <t>in Hausbausatz</t>
  </si>
  <si>
    <t>Fensterbänke</t>
  </si>
  <si>
    <t>Überdachung Eingangstüre</t>
  </si>
  <si>
    <t>Podest Eingangstüre</t>
  </si>
  <si>
    <t>in Kellerrohbau</t>
  </si>
  <si>
    <t>Netzwerk- und Leerrohre</t>
  </si>
  <si>
    <t>Innentüre inkl. Einbau</t>
  </si>
  <si>
    <t>in Elektroinstallation</t>
  </si>
  <si>
    <t>Schließanlage (5x gleichschließend)</t>
  </si>
  <si>
    <t>Sprechanlage, 1 Innensprechstelle</t>
  </si>
  <si>
    <t>Bewegungsmelder für Licht (EINGANG)</t>
  </si>
  <si>
    <t>erster Anstrich (Außen)</t>
  </si>
  <si>
    <t>Kind 1</t>
  </si>
  <si>
    <t>Parkett</t>
  </si>
  <si>
    <t>Kind 2</t>
  </si>
  <si>
    <t>Kind 3</t>
  </si>
  <si>
    <t>Empore</t>
  </si>
  <si>
    <t>Eltern</t>
  </si>
  <si>
    <t>Studio</t>
  </si>
  <si>
    <t>Ankleide</t>
  </si>
  <si>
    <t>Bad/WC</t>
  </si>
  <si>
    <t>Kind Bad</t>
  </si>
  <si>
    <t>Diele</t>
  </si>
  <si>
    <t>EG</t>
  </si>
  <si>
    <t>OG</t>
  </si>
  <si>
    <t>WC</t>
  </si>
  <si>
    <t>Vorrat</t>
  </si>
  <si>
    <t>Küche, Ess</t>
  </si>
  <si>
    <t>Wohnzimmer</t>
  </si>
  <si>
    <t>Kellertreppe</t>
  </si>
  <si>
    <t>Flur</t>
  </si>
  <si>
    <t>HWR</t>
  </si>
  <si>
    <t>Anschluß</t>
  </si>
  <si>
    <t>Keller 1</t>
  </si>
  <si>
    <t>Wein</t>
  </si>
  <si>
    <t>Keller 2</t>
  </si>
  <si>
    <t>Hobby</t>
  </si>
  <si>
    <t>Büro</t>
  </si>
  <si>
    <t>KG</t>
  </si>
  <si>
    <t>Fliesen 1</t>
  </si>
  <si>
    <t>Fliesen 2</t>
  </si>
  <si>
    <t>Summe Bodenbeläge</t>
  </si>
  <si>
    <t>Gesamtsumme (rund)</t>
  </si>
  <si>
    <t>Raum</t>
  </si>
  <si>
    <t>Belag</t>
  </si>
  <si>
    <t>Aufpreis Holz/Alu Fenster</t>
  </si>
  <si>
    <t>Abdichtung der Bodenplatte / Kellerdecke</t>
  </si>
  <si>
    <t>Sicherungskasten inkl. 3 Zähler</t>
  </si>
  <si>
    <t>in Heizung</t>
  </si>
  <si>
    <t>Trittschalldämmung Decke EG/OG</t>
  </si>
  <si>
    <t>Fundamente Carport</t>
  </si>
  <si>
    <t>Kellerrohbau inkl. Fundamente</t>
  </si>
  <si>
    <t>Ringdrainage / Spülschächte</t>
  </si>
  <si>
    <t>Lichtschächte</t>
  </si>
  <si>
    <t>Kanal/Kanalanschluß/Reinigungsschacht</t>
  </si>
  <si>
    <t>Kelleraussenanstrich inkl. Sockel</t>
  </si>
  <si>
    <t>Laminat</t>
  </si>
  <si>
    <t>Verschnitt (6%)</t>
  </si>
  <si>
    <t>Bauantrag / Lageplan</t>
  </si>
  <si>
    <t>Kellerinnentüren inkl. Zargen und Einbau</t>
  </si>
  <si>
    <t xml:space="preserve">Baustelleneinrichtung </t>
  </si>
  <si>
    <t xml:space="preserve">Kinder </t>
  </si>
  <si>
    <t>Wanne</t>
  </si>
  <si>
    <t>Dusche</t>
  </si>
  <si>
    <t>Doppelwaschtisch</t>
  </si>
  <si>
    <t>Spiegel</t>
  </si>
  <si>
    <t>Assecoires</t>
  </si>
  <si>
    <t>vorhanden</t>
  </si>
  <si>
    <t>Keller Bad</t>
  </si>
  <si>
    <t>Waschtisch</t>
  </si>
  <si>
    <t>Gäste WC</t>
  </si>
  <si>
    <t>Gesamtsumme</t>
  </si>
  <si>
    <t>Alarmanlage mit Einwählen</t>
  </si>
  <si>
    <t>Geländer (Spitzböden Kinder)</t>
  </si>
  <si>
    <t>Wasser- / Sanitärinstallation</t>
  </si>
  <si>
    <t xml:space="preserve">Kellerfenster und -türe (Büro, Studio, Montage) </t>
  </si>
  <si>
    <t>Wandfliesen Bäder / Küche</t>
  </si>
  <si>
    <t>Wandfliesen Keller</t>
  </si>
  <si>
    <t>Wände verputzen / streichen Keller</t>
  </si>
  <si>
    <t>Wand Putz / Streichen Holzhaus</t>
  </si>
  <si>
    <t>Holzbehandlung Innen mit Lauge</t>
  </si>
  <si>
    <t>PLAN</t>
  </si>
  <si>
    <t>günstigstes Angebot</t>
  </si>
  <si>
    <t>Anbieter</t>
  </si>
  <si>
    <t>Armatur Wanne</t>
  </si>
  <si>
    <t>Armatur Dusche</t>
  </si>
  <si>
    <t>Unterspülkasten / Deckplatte</t>
  </si>
  <si>
    <t>Armaturen Waschtische</t>
  </si>
  <si>
    <t>Armatur Waschtisch</t>
  </si>
  <si>
    <t>Modell</t>
  </si>
  <si>
    <t>Betrag</t>
  </si>
  <si>
    <t>Duschabtrennung</t>
  </si>
  <si>
    <t>Duschablauf / -wanne</t>
  </si>
  <si>
    <t>Abfluss Waschtisch</t>
  </si>
  <si>
    <t>Abfluss Waschtische</t>
  </si>
  <si>
    <t>Budget der Vorplanung</t>
  </si>
  <si>
    <t>Bezeichnung</t>
  </si>
  <si>
    <t>Keller</t>
  </si>
  <si>
    <t>EIGENLEISTUNG</t>
  </si>
  <si>
    <t>Kosten gem. Vorplanung</t>
  </si>
  <si>
    <t>Material Bodenbeläge Parkett / Fliesen</t>
  </si>
  <si>
    <t>Material für alle Eigenleistungen</t>
  </si>
  <si>
    <t>Aufpreise Norwood</t>
  </si>
  <si>
    <t>Budget</t>
  </si>
  <si>
    <t>verbleiben</t>
  </si>
  <si>
    <t>Agio Bank f. Darlehen</t>
  </si>
  <si>
    <t>Bearbeitungskosten Bank f. Darlehen</t>
  </si>
  <si>
    <t>Erdgeschoss</t>
  </si>
  <si>
    <t>Dachgeschoss</t>
  </si>
  <si>
    <t>Außenanlage</t>
  </si>
  <si>
    <t xml:space="preserve">Haus </t>
  </si>
  <si>
    <t>Material-kosten</t>
  </si>
  <si>
    <t>zeitlicher Aufwand</t>
  </si>
  <si>
    <t>Person(en)</t>
  </si>
  <si>
    <t>Innenwände verputzen / streichen Keller</t>
  </si>
  <si>
    <t>Wandfliesen Gäste-WC</t>
  </si>
  <si>
    <t>Wandschutz Küche</t>
  </si>
  <si>
    <t>Wandfliesen Eltern Bad</t>
  </si>
  <si>
    <t>Wandfliesen Kinder Bad</t>
  </si>
  <si>
    <t>Verkleidung Heizungsverteiler</t>
  </si>
  <si>
    <t>Verkleidung Fallrohrschacht WC</t>
  </si>
  <si>
    <t>Verkleidung Schacht f. Kabel / Rohre</t>
  </si>
  <si>
    <t>Verputzen / Fliesen Fallrohrschacht WC</t>
  </si>
  <si>
    <t>Verputzen / Fliesen Schacht f. Kabel / Rohre</t>
  </si>
  <si>
    <t>Verputzen / Fliesen Heizungsverteiler</t>
  </si>
  <si>
    <t>Zeitaufwand Bodenbelage KG</t>
  </si>
  <si>
    <t>Zeitaufwand Bodenbelage DG</t>
  </si>
  <si>
    <t>Zeitaufwand Bodenbelage EG</t>
  </si>
  <si>
    <t>Trittschalldämmung verlegen</t>
  </si>
  <si>
    <t>Zementestrich (KG, EG)</t>
  </si>
  <si>
    <t>Estrich (DG)</t>
  </si>
  <si>
    <t>Holzplattenunterkonstruktion DG verlegen</t>
  </si>
  <si>
    <t>Perlite Verfüllung auf Boden</t>
  </si>
  <si>
    <t>Fermacell Platten auf Boden</t>
  </si>
  <si>
    <t>Folie verlegen (0,2 PE)</t>
  </si>
  <si>
    <t>Carport</t>
  </si>
  <si>
    <t>Bodenbelag Carportabstellhaus</t>
  </si>
  <si>
    <t>Mauern des Waschtischunterteils Kinder Bad</t>
  </si>
  <si>
    <t>Mauern des Waschtischunterteils Eltern Bad</t>
  </si>
  <si>
    <t>Streichen Kamin</t>
  </si>
  <si>
    <t>Unterbau für Waschbecken Gäste-WC</t>
  </si>
  <si>
    <t>Badewanne einmauern</t>
  </si>
  <si>
    <t>Badewanne fliesen</t>
  </si>
  <si>
    <t>Tage</t>
  </si>
  <si>
    <t>Stunden</t>
  </si>
  <si>
    <t>Gerät</t>
  </si>
  <si>
    <t>59x45,5 cm</t>
  </si>
  <si>
    <t>Handtuchheizkörper</t>
  </si>
  <si>
    <t>75x67 cm</t>
  </si>
  <si>
    <t>Beschreibung</t>
  </si>
  <si>
    <t>Maße</t>
  </si>
  <si>
    <t>Preis</t>
  </si>
  <si>
    <t>Lieferant</t>
  </si>
  <si>
    <t>Küche (Spülstein, Holz, Arbeitsplatte und Montage)</t>
  </si>
  <si>
    <t>Gesamtpreis</t>
  </si>
  <si>
    <t>Plan</t>
  </si>
  <si>
    <t>Angebot</t>
  </si>
  <si>
    <t>Summen</t>
  </si>
  <si>
    <t>Kamin (1-zügig, Zuluft)</t>
  </si>
  <si>
    <t>Spülarmatur</t>
  </si>
  <si>
    <t>Aussenanlagen (Accessoires)</t>
  </si>
  <si>
    <t>Aussenanlagen (Material Accessoires)</t>
  </si>
  <si>
    <t>Pumpe, Zisterne / Fass für Garten, 10.000l</t>
  </si>
  <si>
    <t>Gardinen / Rollos Gäste-WC</t>
  </si>
  <si>
    <t>Gardinen / Rollos Wohnzimmer zur Strasse</t>
  </si>
  <si>
    <t>Gardinen / Rollos Schlafzimmer / Kinder-Bad</t>
  </si>
  <si>
    <t>Kaldewei Stahl Badewanne VAIO DUO Oval 180x80</t>
  </si>
  <si>
    <t>Förderung Wärmepumpe</t>
  </si>
  <si>
    <t>Förderung Solaranlage</t>
  </si>
  <si>
    <t>Regenwassernutzung</t>
  </si>
  <si>
    <t>Ausheben / Verteilen</t>
  </si>
  <si>
    <t>Rückstausicherung</t>
  </si>
  <si>
    <t>in Verrohrung</t>
  </si>
  <si>
    <t>Podest Eingangstüre fliesen</t>
  </si>
  <si>
    <t>in Solar / Heizung</t>
  </si>
  <si>
    <t>Keller abstecken und einmessen (Grob / Fein)</t>
  </si>
  <si>
    <t>Hausbausatz</t>
  </si>
  <si>
    <t>Aufbau Holzhaus</t>
  </si>
  <si>
    <t>Installation Heizungsystem mit Luft-Wärmepumpe</t>
  </si>
  <si>
    <t>Bauversicherungen</t>
  </si>
  <si>
    <t>Avalgebühren Norwood</t>
  </si>
  <si>
    <t>Carportfundament</t>
  </si>
  <si>
    <t>Stützmauer Carport</t>
  </si>
  <si>
    <t>(Bereitstellungs)zinsen Bank f. Darlehen</t>
  </si>
  <si>
    <t>Baustelle (Strom, Wasser, WC)</t>
  </si>
  <si>
    <t>Stahlzuschlag (Kellerrohbau)</t>
  </si>
  <si>
    <t>Bankauskunftsgebühren Bank</t>
  </si>
  <si>
    <t>Materiallieferant</t>
  </si>
  <si>
    <t>Sanitärobjekte (Duschabtrennungen)</t>
  </si>
  <si>
    <t>Kelleraussen Anstrich inkl. Sockel</t>
  </si>
  <si>
    <t>Kelleraussen Zinkabdichtung</t>
  </si>
  <si>
    <t>Unterbau Heizungselemente EG / KG</t>
  </si>
  <si>
    <t>Gebühren Grundbuchamt f. Vormerkung</t>
  </si>
  <si>
    <t>Aussenanlagen (Material Hangstützung)</t>
  </si>
  <si>
    <t>Aussenanlagen (Material Carport Befestigung)</t>
  </si>
  <si>
    <t>Aussenanlagen (Material Terrasse Befestigung)</t>
  </si>
  <si>
    <t>Holzinnenanstrich</t>
  </si>
  <si>
    <t>Gerüst - Überzeit</t>
  </si>
  <si>
    <t>Kachelofen Küche + Kamin Wohnzimmer</t>
  </si>
  <si>
    <t>Belag Preis</t>
  </si>
  <si>
    <t>DU / WC</t>
  </si>
  <si>
    <t>Server</t>
  </si>
  <si>
    <t>Raumboden-fläche (m²)</t>
  </si>
  <si>
    <t>Typ / Bezeichnung</t>
  </si>
  <si>
    <t>Verschnitt % (inkl.Sockel)</t>
  </si>
  <si>
    <t>Kleber, etc. Preis pro m²</t>
  </si>
  <si>
    <t>Gesamt-summe</t>
  </si>
  <si>
    <t>Materialpreis (m²)</t>
  </si>
  <si>
    <t>Schalltrennwand Musikstudio / Glas</t>
  </si>
  <si>
    <t>Ausbau Weinkeller (Isolierung, Ton, Türe)</t>
  </si>
  <si>
    <t>bestellte Boden m²</t>
  </si>
  <si>
    <t>erster Anstrich (Außen) / Gerüstaufbau März</t>
  </si>
  <si>
    <t>4 x VELUX Verd.-Rollo beige, DKL S08 1085</t>
  </si>
  <si>
    <t>zusätzliches Dachfenster Empore</t>
  </si>
  <si>
    <t>zusätzliches Dachfenster Eltern Bad (Integra)</t>
  </si>
  <si>
    <t>Raumwand-fläche (m²)</t>
  </si>
  <si>
    <t>bestellte Wand m²</t>
  </si>
  <si>
    <t>Belag Preis (m²)</t>
  </si>
  <si>
    <t>Verschnitt %</t>
  </si>
  <si>
    <t>siehe Wand</t>
  </si>
  <si>
    <t>Wandbeläge aller Geschosse</t>
  </si>
  <si>
    <t>Wo?</t>
  </si>
  <si>
    <t>Bad/WC Eltern</t>
  </si>
  <si>
    <t>4 x 60er quer übereinander (rechts neben Eingang; 160cm auf Wand zu Ankleide; Wand Richtung Studio)</t>
  </si>
  <si>
    <t>Borde</t>
  </si>
  <si>
    <t>ca. 5 cm hoch, 600 cm lang</t>
  </si>
  <si>
    <t>Waschtisch fliesen</t>
  </si>
  <si>
    <t>nur oben (unten gemauert)</t>
  </si>
  <si>
    <t>Badewanne einfliesen</t>
  </si>
  <si>
    <t>240 hoch, 130 und 150 (Dusche); Kniestock über Wanne ca. 3 m²</t>
  </si>
  <si>
    <t>Wand</t>
  </si>
  <si>
    <t>hinter Waschmaschinen (1,33m hoch)</t>
  </si>
  <si>
    <t>hinter Spüle fliesen</t>
  </si>
  <si>
    <t>rundum 166 cm hoch</t>
  </si>
  <si>
    <t>Wand wo Räder hängen</t>
  </si>
  <si>
    <t>Kelleraussen Putz &amp; Dämmung inkl. Sockel</t>
  </si>
  <si>
    <t>Hausanschlussgraben / Zisterne / Carport</t>
  </si>
  <si>
    <t>Verfüllen inkl. Humus</t>
  </si>
  <si>
    <t>Kellerinnenputz ex. Putzmaterial</t>
  </si>
  <si>
    <t>Kellerdecke mit Easyputz und Grundierung</t>
  </si>
  <si>
    <t>Spachtelmasse</t>
  </si>
  <si>
    <t>Gesamtbauleitung (nur Keller)</t>
  </si>
  <si>
    <t>Grundstückserwerb</t>
  </si>
  <si>
    <t>Erschließungsgebühren Grundstück</t>
  </si>
  <si>
    <t>Zinskosten Grundstücksvorfinanzierung</t>
  </si>
  <si>
    <t>Erschließungsgebühren Gemeindegrundstück</t>
  </si>
  <si>
    <t>Eigenleistungen Materialkosten</t>
  </si>
  <si>
    <t>Notargebühren Grundschuld</t>
  </si>
  <si>
    <t>Person 1</t>
  </si>
  <si>
    <t>Person 2</t>
  </si>
  <si>
    <t>Person 3</t>
  </si>
  <si>
    <t>Holzbehandlung Innen (machen wir nicht)</t>
  </si>
  <si>
    <t>Gerät 1</t>
  </si>
  <si>
    <t>Gerät 2</t>
  </si>
  <si>
    <t>Gerät 3</t>
  </si>
  <si>
    <t>Gerät 4</t>
  </si>
  <si>
    <t>Dampfgarer ....</t>
  </si>
  <si>
    <t>Backofen ....</t>
  </si>
  <si>
    <t>Kühlschrank</t>
  </si>
  <si>
    <t>Mikrowelle</t>
  </si>
  <si>
    <t>Baumarkt x</t>
  </si>
  <si>
    <t xml:space="preserve">Baustoffhandel </t>
  </si>
  <si>
    <t>Baustoffhandel y</t>
  </si>
  <si>
    <t>Fliese x in Maß aaa x bbb cm</t>
  </si>
  <si>
    <t>Holzdiele Typ x, ...</t>
  </si>
  <si>
    <t xml:space="preserve">Bauhaus x </t>
  </si>
  <si>
    <t>Fliesenhandel x</t>
  </si>
  <si>
    <t>Discounter x</t>
  </si>
  <si>
    <t>Fliesen Typ x</t>
  </si>
  <si>
    <t xml:space="preserve">Massivdiele Eiche Naturline, Hartwachsöl </t>
  </si>
  <si>
    <t>Fliese xy</t>
  </si>
  <si>
    <t>Fliese z</t>
  </si>
  <si>
    <t>Laminat xy</t>
  </si>
  <si>
    <t xml:space="preserve">Clickparkett Buche </t>
  </si>
  <si>
    <t>Firma abc</t>
  </si>
  <si>
    <t>ich übernehme keine Haftung für die korrekten Formeln und Vollständigkeit der Bauphasen oder sonstige in Zusammenhang mit dieser kostenlosen Datei stehenden Dinge</t>
  </si>
  <si>
    <t>Das XLS Dokument besteht aus vielen unterschiedlichen TABs / Arbeitsblättern</t>
  </si>
  <si>
    <t xml:space="preserve">Sie finden hier nach bestem Wissen eine Zusammenstellung der Kosten eines Baus. Einige werden für Sie nicht relevant sein (z.B. Grundstücks Erschließungskosten bei Kauf eines bereits erschlossenen Grundstücks) andere Kosten werden fehlen. </t>
  </si>
  <si>
    <t xml:space="preserve">Sie können alle beige unterlegten Felder editieren, die anderen haben Formeln. Das XLS ist  nicht gesperrt, Sie können daher alles verändern. </t>
  </si>
  <si>
    <t xml:space="preserve">Es gibt Felder für Planzahlen (hier kommen die ersten Gedanken zum Budget von Ihnen rein) und Felder für Angebote, d.h. was Ihnen von Anbietern angeboten wurde. </t>
  </si>
  <si>
    <t>Durch löschen von Zeilen / ergänzen von Zeilen können Sie Zimmer ergänzen, löschen oder andere Dinge ergänzen. Passen Sie das XLS also zunächst auf Ihr Haus an</t>
  </si>
  <si>
    <t>Die hier angesetzten Werte sind realistisch für ein Blockhaus mit rund 250 qm Wohnfläche auf 1,5 Geschossen plus Keller mit rund 130 qm sowie einem Carport. Alles mit mittlerer Ausstattung und von einem Anbieter des mittleren Preissegments. Es handelt sich nicht um unser Haus!</t>
  </si>
  <si>
    <t xml:space="preserve">Die Eigenleistungen werden in Stunden festgehalten - hier einfach die Namen der Personen die diese ausführen immer in der selben Schreibweise fest halten. Es werden dann die entsprechenden Werte addiert, um zu sehen ob die Personen überhaupt in der Lage sind diese Leistungen zu erbringen. </t>
  </si>
  <si>
    <t>Bei den Eigenleistungen sind ansonsten die Materialkosten zu ergänzen. Die Werte für Verschnitt sind recht realistisch, müssen aber ggf je nach Raumform angepasst werden</t>
  </si>
  <si>
    <t>Ich biete keinen Support für dieses XLS an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</si>
</sst>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 ##"/>
    <numFmt numFmtId="167" formatCode="#.#&quot;   &quot;"/>
    <numFmt numFmtId="168" formatCode="#.#___&amp;&quot;Punkte&quot;"/>
    <numFmt numFmtId="169" formatCode="#.#___&amp;&quot;&quot;"/>
    <numFmt numFmtId="170" formatCode="#.#___&amp;&quot;   &quot;"/>
    <numFmt numFmtId="171" formatCode="#.#\&amp;&quot; P.&quot;"/>
    <numFmt numFmtId="172" formatCode="#.#&quot; P.&quot;"/>
    <numFmt numFmtId="173" formatCode="#.#&quot; P&quot;"/>
    <numFmt numFmtId="174" formatCode="0_ ;[Red]\-0\ "/>
    <numFmt numFmtId="175" formatCode="#.0&quot; P&quot;"/>
    <numFmt numFmtId="176" formatCode="#.00&quot; P&quot;"/>
    <numFmt numFmtId="177" formatCode="#,##0.00\ &quot;EUR&quot;;[Red]\-#,##0.00\ &quot;EUR&quot;"/>
    <numFmt numFmtId="178" formatCode="#,##0.00\ &quot;Pkt&quot;;[Red]\-#,##0.00\ &quot;Pkt&quot;"/>
    <numFmt numFmtId="179" formatCode="#,##0.00\ &quot;Pkt.&quot;;[Red]\-#,##0.00\ &quot;Pkt.&quot;"/>
    <numFmt numFmtId="180" formatCode="#,##0.000"/>
    <numFmt numFmtId="181" formatCode="#,##0.0000"/>
    <numFmt numFmtId="182" formatCode="#,##0.00000"/>
    <numFmt numFmtId="183" formatCode="#,##0.000000"/>
    <numFmt numFmtId="184" formatCode="#,##0.00\ &quot;€&quot;"/>
    <numFmt numFmtId="185" formatCode="h:mm;@"/>
    <numFmt numFmtId="186" formatCode="mm:ss.0;@"/>
    <numFmt numFmtId="187" formatCode="[h]:mm:ss;@"/>
    <numFmt numFmtId="188" formatCode="d/m/yy\ h:mm;@"/>
    <numFmt numFmtId="189" formatCode="[$-407]dddd\,\ d\.\ mmmm\ yyyy"/>
    <numFmt numFmtId="190" formatCode="&quot;Ja&quot;;&quot;Ja&quot;;&quot;Nein&quot;"/>
    <numFmt numFmtId="191" formatCode="&quot;Wahr&quot;;&quot;Wahr&quot;;&quot;Falsch&quot;"/>
    <numFmt numFmtId="192" formatCode="&quot;Ein&quot;;&quot;Ein&quot;;&quot;Aus&quot;"/>
    <numFmt numFmtId="193" formatCode="[$€-2]\ #,##0.00_);[Red]\([$€-2]\ #,##0.00\)"/>
  </numFmts>
  <fonts count="48">
    <font>
      <sz val="10"/>
      <name val="Arial"/>
      <family val="0"/>
    </font>
    <font>
      <b/>
      <sz val="12"/>
      <name val="Arial"/>
      <family val="2"/>
    </font>
    <font>
      <sz val="8"/>
      <name val="Arial"/>
      <family val="0"/>
    </font>
    <font>
      <b/>
      <sz val="10"/>
      <name val="Arial"/>
      <family val="2"/>
    </font>
    <font>
      <sz val="8"/>
      <name val="Tahoma"/>
      <family val="0"/>
    </font>
    <font>
      <b/>
      <sz val="8"/>
      <name val="Tahoma"/>
      <family val="0"/>
    </font>
    <font>
      <sz val="12"/>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FF0000"/>
      <name val="Arial"/>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6">
    <xf numFmtId="0" fontId="0" fillId="0" borderId="0" xfId="0" applyAlignment="1">
      <alignment/>
    </xf>
    <xf numFmtId="0" fontId="1" fillId="0" borderId="0" xfId="0" applyFont="1" applyAlignment="1">
      <alignment horizontal="center" wrapText="1"/>
    </xf>
    <xf numFmtId="0" fontId="1" fillId="0" borderId="0" xfId="0" applyFont="1" applyAlignment="1">
      <alignment/>
    </xf>
    <xf numFmtId="8" fontId="0" fillId="0" borderId="0" xfId="0" applyNumberFormat="1" applyAlignment="1">
      <alignment/>
    </xf>
    <xf numFmtId="0" fontId="1" fillId="1" borderId="10" xfId="0" applyFont="1" applyFill="1" applyBorder="1" applyAlignment="1">
      <alignment horizontal="center" wrapText="1"/>
    </xf>
    <xf numFmtId="0" fontId="1" fillId="1" borderId="11" xfId="0" applyFont="1" applyFill="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2" xfId="0" applyFont="1" applyBorder="1" applyAlignment="1">
      <alignment horizontal="left" vertical="center"/>
    </xf>
    <xf numFmtId="0" fontId="0" fillId="0" borderId="12" xfId="0" applyBorder="1" applyAlignment="1">
      <alignment horizontal="left" vertical="center"/>
    </xf>
    <xf numFmtId="177" fontId="3" fillId="0" borderId="11" xfId="0" applyNumberFormat="1" applyFont="1" applyBorder="1" applyAlignment="1">
      <alignment horizontal="right" vertical="center" wrapText="1"/>
    </xf>
    <xf numFmtId="4" fontId="0" fillId="0" borderId="0" xfId="0" applyNumberFormat="1" applyAlignment="1">
      <alignment/>
    </xf>
    <xf numFmtId="0" fontId="3" fillId="0" borderId="0" xfId="0" applyFont="1" applyAlignment="1">
      <alignment/>
    </xf>
    <xf numFmtId="4" fontId="3" fillId="0" borderId="0" xfId="0" applyNumberFormat="1" applyFont="1" applyAlignment="1">
      <alignment/>
    </xf>
    <xf numFmtId="8" fontId="3" fillId="0" borderId="0" xfId="0" applyNumberFormat="1" applyFont="1" applyAlignment="1">
      <alignment/>
    </xf>
    <xf numFmtId="0" fontId="3" fillId="0" borderId="11" xfId="0" applyFont="1" applyBorder="1" applyAlignment="1">
      <alignment/>
    </xf>
    <xf numFmtId="8" fontId="3" fillId="0" borderId="11" xfId="0" applyNumberFormat="1" applyFont="1" applyBorder="1" applyAlignment="1">
      <alignment horizontal="right"/>
    </xf>
    <xf numFmtId="0" fontId="3" fillId="0" borderId="0" xfId="0" applyFont="1" applyBorder="1" applyAlignment="1">
      <alignment/>
    </xf>
    <xf numFmtId="4" fontId="3" fillId="0" borderId="0" xfId="0" applyNumberFormat="1" applyFont="1" applyBorder="1" applyAlignment="1">
      <alignment horizontal="right"/>
    </xf>
    <xf numFmtId="8" fontId="3" fillId="0" borderId="0" xfId="0" applyNumberFormat="1" applyFont="1" applyBorder="1" applyAlignment="1">
      <alignment horizontal="right"/>
    </xf>
    <xf numFmtId="8" fontId="0" fillId="0" borderId="0" xfId="0" applyNumberFormat="1" applyFill="1" applyAlignment="1">
      <alignment/>
    </xf>
    <xf numFmtId="0" fontId="0" fillId="0" borderId="0" xfId="0" applyAlignment="1">
      <alignment horizontal="left" indent="1"/>
    </xf>
    <xf numFmtId="184" fontId="0" fillId="0" borderId="0" xfId="0" applyNumberFormat="1" applyAlignment="1">
      <alignment/>
    </xf>
    <xf numFmtId="184" fontId="3" fillId="0" borderId="0" xfId="0" applyNumberFormat="1" applyFont="1" applyAlignment="1">
      <alignment/>
    </xf>
    <xf numFmtId="0" fontId="0" fillId="0" borderId="0" xfId="0" applyFill="1" applyAlignment="1">
      <alignment/>
    </xf>
    <xf numFmtId="184" fontId="3" fillId="0" borderId="0" xfId="0" applyNumberFormat="1" applyFont="1" applyAlignment="1">
      <alignment horizontal="right"/>
    </xf>
    <xf numFmtId="184" fontId="1" fillId="0" borderId="13" xfId="0" applyNumberFormat="1" applyFont="1" applyBorder="1" applyAlignment="1">
      <alignment/>
    </xf>
    <xf numFmtId="0" fontId="1" fillId="0" borderId="13" xfId="0" applyFont="1" applyBorder="1" applyAlignment="1">
      <alignment/>
    </xf>
    <xf numFmtId="0" fontId="0" fillId="0" borderId="0" xfId="0" applyFont="1" applyAlignment="1">
      <alignment/>
    </xf>
    <xf numFmtId="0" fontId="0" fillId="0" borderId="0" xfId="0" applyAlignment="1">
      <alignment horizontal="right"/>
    </xf>
    <xf numFmtId="0" fontId="3" fillId="0" borderId="0" xfId="0" applyFont="1" applyAlignment="1">
      <alignment horizontal="right"/>
    </xf>
    <xf numFmtId="0" fontId="6" fillId="0" borderId="0" xfId="0" applyFont="1" applyAlignment="1">
      <alignment horizontal="left" vertical="center" wrapText="1"/>
    </xf>
    <xf numFmtId="177" fontId="0" fillId="0" borderId="11" xfId="0" applyNumberFormat="1" applyFont="1" applyBorder="1" applyAlignment="1">
      <alignment horizontal="righ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wrapText="1"/>
    </xf>
    <xf numFmtId="177" fontId="0" fillId="0" borderId="0" xfId="0" applyNumberFormat="1" applyFont="1" applyFill="1" applyBorder="1" applyAlignment="1">
      <alignment horizontal="right" vertical="center" wrapText="1"/>
    </xf>
    <xf numFmtId="0" fontId="1" fillId="0" borderId="0" xfId="0" applyFont="1" applyFill="1" applyAlignment="1">
      <alignment horizontal="center" wrapText="1"/>
    </xf>
    <xf numFmtId="0" fontId="2" fillId="0" borderId="0" xfId="0" applyFont="1" applyFill="1" applyAlignment="1">
      <alignment horizontal="center" wrapText="1"/>
    </xf>
    <xf numFmtId="0" fontId="6" fillId="0" borderId="0" xfId="0" applyFont="1" applyFill="1" applyAlignment="1">
      <alignment horizontal="left" vertical="center" wrapText="1"/>
    </xf>
    <xf numFmtId="0" fontId="0" fillId="0" borderId="0" xfId="0" applyFont="1" applyFill="1" applyAlignment="1">
      <alignment horizontal="center" vertical="center" wrapText="1"/>
    </xf>
    <xf numFmtId="8" fontId="7" fillId="0" borderId="13" xfId="0" applyNumberFormat="1" applyFont="1" applyBorder="1" applyAlignment="1">
      <alignment/>
    </xf>
    <xf numFmtId="184" fontId="7" fillId="0" borderId="13" xfId="0" applyNumberFormat="1" applyFont="1" applyBorder="1" applyAlignment="1">
      <alignment/>
    </xf>
    <xf numFmtId="8" fontId="8" fillId="0" borderId="0" xfId="0" applyNumberFormat="1" applyFont="1" applyAlignment="1">
      <alignment/>
    </xf>
    <xf numFmtId="184" fontId="8" fillId="0" borderId="0" xfId="0" applyNumberFormat="1" applyFont="1" applyAlignment="1">
      <alignment/>
    </xf>
    <xf numFmtId="8" fontId="7" fillId="0" borderId="0" xfId="0" applyNumberFormat="1" applyFont="1" applyAlignment="1">
      <alignment/>
    </xf>
    <xf numFmtId="8" fontId="7" fillId="0" borderId="0" xfId="0" applyNumberFormat="1" applyFont="1" applyAlignment="1">
      <alignment horizontal="right"/>
    </xf>
    <xf numFmtId="8" fontId="7" fillId="0" borderId="0" xfId="0" applyNumberFormat="1" applyFont="1" applyAlignment="1">
      <alignment horizontal="right" wrapText="1"/>
    </xf>
    <xf numFmtId="8" fontId="8" fillId="0" borderId="0" xfId="0" applyNumberFormat="1" applyFont="1" applyAlignment="1">
      <alignment horizontal="right"/>
    </xf>
    <xf numFmtId="0" fontId="1" fillId="0" borderId="13" xfId="0" applyFont="1" applyBorder="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187" fontId="8" fillId="0" borderId="0" xfId="0" applyNumberFormat="1" applyFont="1" applyAlignment="1">
      <alignment/>
    </xf>
    <xf numFmtId="187" fontId="7" fillId="0" borderId="0" xfId="0" applyNumberFormat="1" applyFont="1" applyAlignment="1">
      <alignment horizontal="right"/>
    </xf>
    <xf numFmtId="187" fontId="7" fillId="0" borderId="0" xfId="0" applyNumberFormat="1" applyFont="1" applyAlignment="1">
      <alignment horizontal="right" wrapText="1"/>
    </xf>
    <xf numFmtId="187" fontId="8" fillId="0" borderId="0" xfId="0" applyNumberFormat="1" applyFont="1" applyAlignment="1">
      <alignment horizontal="right"/>
    </xf>
    <xf numFmtId="187" fontId="1" fillId="0" borderId="0" xfId="0" applyNumberFormat="1" applyFont="1" applyAlignment="1">
      <alignment/>
    </xf>
    <xf numFmtId="187" fontId="0" fillId="0" borderId="0" xfId="0" applyNumberFormat="1" applyFont="1" applyAlignment="1">
      <alignment/>
    </xf>
    <xf numFmtId="187" fontId="3" fillId="0" borderId="0" xfId="0" applyNumberFormat="1" applyFont="1" applyAlignment="1">
      <alignment/>
    </xf>
    <xf numFmtId="187" fontId="0" fillId="0" borderId="0" xfId="0" applyNumberFormat="1" applyAlignment="1">
      <alignment/>
    </xf>
    <xf numFmtId="8" fontId="8" fillId="0" borderId="0" xfId="0" applyNumberFormat="1" applyFont="1" applyAlignment="1">
      <alignment horizontal="left"/>
    </xf>
    <xf numFmtId="2" fontId="8" fillId="0" borderId="0" xfId="0" applyNumberFormat="1" applyFont="1" applyAlignment="1">
      <alignment horizontal="right"/>
    </xf>
    <xf numFmtId="0" fontId="0" fillId="0" borderId="0" xfId="0" applyFont="1" applyAlignment="1">
      <alignment horizontal="left"/>
    </xf>
    <xf numFmtId="0" fontId="0" fillId="0" borderId="13" xfId="0" applyFont="1" applyBorder="1" applyAlignment="1">
      <alignment/>
    </xf>
    <xf numFmtId="1" fontId="7" fillId="0" borderId="13" xfId="0" applyNumberFormat="1" applyFont="1" applyBorder="1" applyAlignment="1">
      <alignment/>
    </xf>
    <xf numFmtId="0" fontId="0" fillId="0" borderId="0" xfId="0" applyAlignment="1">
      <alignment wrapText="1"/>
    </xf>
    <xf numFmtId="0" fontId="0" fillId="0" borderId="0" xfId="0" applyAlignment="1">
      <alignment vertical="top" wrapText="1"/>
    </xf>
    <xf numFmtId="0" fontId="3" fillId="0" borderId="0" xfId="0" applyFont="1" applyAlignment="1">
      <alignment wrapText="1"/>
    </xf>
    <xf numFmtId="0" fontId="3" fillId="0" borderId="14" xfId="0" applyFont="1" applyBorder="1" applyAlignment="1">
      <alignment/>
    </xf>
    <xf numFmtId="0" fontId="3" fillId="0" borderId="14" xfId="0" applyFont="1" applyBorder="1" applyAlignment="1">
      <alignment wrapText="1"/>
    </xf>
    <xf numFmtId="8" fontId="3" fillId="0" borderId="14" xfId="0" applyNumberFormat="1" applyFont="1" applyBorder="1" applyAlignment="1">
      <alignment/>
    </xf>
    <xf numFmtId="0" fontId="3" fillId="0" borderId="14" xfId="0" applyFont="1" applyBorder="1" applyAlignment="1">
      <alignment/>
    </xf>
    <xf numFmtId="0" fontId="0" fillId="0" borderId="0" xfId="0" applyAlignment="1">
      <alignment vertical="top"/>
    </xf>
    <xf numFmtId="0" fontId="0" fillId="0" borderId="0" xfId="0" applyAlignment="1">
      <alignment/>
    </xf>
    <xf numFmtId="4" fontId="3" fillId="0" borderId="0" xfId="0" applyNumberFormat="1" applyFont="1" applyAlignment="1">
      <alignment horizontal="right"/>
    </xf>
    <xf numFmtId="8" fontId="3" fillId="0" borderId="0" xfId="0" applyNumberFormat="1" applyFont="1" applyAlignment="1">
      <alignment horizontal="right"/>
    </xf>
    <xf numFmtId="0" fontId="3" fillId="0" borderId="11" xfId="0" applyFont="1" applyBorder="1" applyAlignment="1">
      <alignment horizontal="right"/>
    </xf>
    <xf numFmtId="8" fontId="3" fillId="0" borderId="14" xfId="0" applyNumberFormat="1" applyFont="1" applyBorder="1" applyAlignment="1">
      <alignment horizontal="right"/>
    </xf>
    <xf numFmtId="0" fontId="3" fillId="0" borderId="14" xfId="0" applyFont="1" applyBorder="1" applyAlignment="1">
      <alignment horizontal="right"/>
    </xf>
    <xf numFmtId="0" fontId="1" fillId="0" borderId="0" xfId="0" applyFont="1" applyBorder="1" applyAlignment="1">
      <alignment vertical="center" wrapText="1"/>
    </xf>
    <xf numFmtId="0" fontId="1" fillId="0" borderId="0" xfId="0" applyFont="1" applyFill="1" applyBorder="1" applyAlignment="1">
      <alignment wrapText="1"/>
    </xf>
    <xf numFmtId="177" fontId="0" fillId="0" borderId="0" xfId="0" applyNumberFormat="1" applyFont="1" applyFill="1" applyBorder="1" applyAlignment="1">
      <alignment vertical="center" wrapText="1"/>
    </xf>
    <xf numFmtId="177" fontId="0" fillId="0" borderId="11" xfId="0" applyNumberFormat="1" applyFont="1" applyBorder="1" applyAlignment="1">
      <alignment vertical="center" wrapText="1"/>
    </xf>
    <xf numFmtId="0" fontId="1" fillId="1" borderId="11" xfId="0" applyFont="1" applyFill="1" applyBorder="1" applyAlignment="1">
      <alignment wrapText="1"/>
    </xf>
    <xf numFmtId="177" fontId="3" fillId="0" borderId="11" xfId="0" applyNumberFormat="1" applyFont="1" applyBorder="1" applyAlignment="1">
      <alignment vertical="center" wrapText="1"/>
    </xf>
    <xf numFmtId="0" fontId="1" fillId="1" borderId="10" xfId="0" applyFont="1" applyFill="1" applyBorder="1" applyAlignment="1">
      <alignment wrapText="1"/>
    </xf>
    <xf numFmtId="0" fontId="0" fillId="0" borderId="0" xfId="0" applyFill="1" applyAlignment="1">
      <alignment/>
    </xf>
    <xf numFmtId="8" fontId="0" fillId="0" borderId="0" xfId="0" applyNumberFormat="1" applyFill="1" applyAlignment="1">
      <alignment horizontal="left"/>
    </xf>
    <xf numFmtId="0" fontId="3" fillId="0" borderId="0" xfId="0" applyFont="1" applyAlignment="1">
      <alignment horizontal="center" wrapText="1"/>
    </xf>
    <xf numFmtId="8" fontId="0" fillId="0" borderId="0" xfId="0" applyNumberFormat="1" applyAlignment="1">
      <alignment vertical="top"/>
    </xf>
    <xf numFmtId="184" fontId="0" fillId="0" borderId="0" xfId="0" applyNumberFormat="1" applyAlignment="1">
      <alignment vertical="top"/>
    </xf>
    <xf numFmtId="4" fontId="3" fillId="0" borderId="11" xfId="0" applyNumberFormat="1" applyFont="1" applyBorder="1" applyAlignment="1">
      <alignment horizontal="center" wrapText="1"/>
    </xf>
    <xf numFmtId="0" fontId="3" fillId="0" borderId="0" xfId="0" applyFont="1" applyAlignment="1">
      <alignment horizontal="center" vertical="top" wrapText="1"/>
    </xf>
    <xf numFmtId="0" fontId="3" fillId="0" borderId="11" xfId="0" applyFont="1" applyBorder="1" applyAlignment="1">
      <alignment horizontal="center" wrapText="1"/>
    </xf>
    <xf numFmtId="0" fontId="0" fillId="33" borderId="0" xfId="0" applyFill="1" applyAlignment="1">
      <alignment horizontal="left" vertical="top" wrapText="1"/>
    </xf>
    <xf numFmtId="4" fontId="0" fillId="0" borderId="0" xfId="0" applyNumberFormat="1" applyAlignment="1">
      <alignment wrapText="1"/>
    </xf>
    <xf numFmtId="0" fontId="3" fillId="0" borderId="0" xfId="0" applyFont="1" applyAlignment="1">
      <alignment vertical="top"/>
    </xf>
    <xf numFmtId="4" fontId="3" fillId="0" borderId="0" xfId="0" applyNumberFormat="1" applyFont="1" applyAlignment="1">
      <alignment vertical="top"/>
    </xf>
    <xf numFmtId="8" fontId="3" fillId="0" borderId="0" xfId="0" applyNumberFormat="1" applyFont="1" applyAlignment="1">
      <alignment vertical="top"/>
    </xf>
    <xf numFmtId="9" fontId="3" fillId="0" borderId="0" xfId="0" applyNumberFormat="1" applyFont="1" applyAlignment="1">
      <alignment vertical="top"/>
    </xf>
    <xf numFmtId="184" fontId="3" fillId="0" borderId="0" xfId="0" applyNumberFormat="1" applyFont="1" applyAlignment="1">
      <alignment vertical="top"/>
    </xf>
    <xf numFmtId="8" fontId="3" fillId="0" borderId="0" xfId="0" applyNumberFormat="1" applyFont="1" applyAlignment="1">
      <alignment horizontal="center"/>
    </xf>
    <xf numFmtId="0" fontId="3" fillId="0" borderId="0" xfId="0" applyFont="1" applyAlignment="1">
      <alignment horizontal="center"/>
    </xf>
    <xf numFmtId="0" fontId="0" fillId="34" borderId="0" xfId="0" applyFill="1" applyAlignment="1">
      <alignment vertical="top" wrapText="1"/>
    </xf>
    <xf numFmtId="8" fontId="0" fillId="34" borderId="0" xfId="0" applyNumberFormat="1" applyFill="1" applyAlignment="1">
      <alignment vertical="top" wrapText="1"/>
    </xf>
    <xf numFmtId="0" fontId="0" fillId="34" borderId="0" xfId="0" applyFill="1" applyAlignment="1">
      <alignment vertical="top"/>
    </xf>
    <xf numFmtId="8" fontId="8" fillId="34" borderId="0" xfId="0" applyNumberFormat="1" applyFont="1" applyFill="1" applyAlignment="1">
      <alignment/>
    </xf>
    <xf numFmtId="8" fontId="8" fillId="34" borderId="0" xfId="0" applyNumberFormat="1" applyFont="1" applyFill="1" applyAlignment="1">
      <alignment horizontal="right"/>
    </xf>
    <xf numFmtId="187" fontId="8" fillId="34" borderId="0" xfId="0" applyNumberFormat="1" applyFont="1" applyFill="1" applyAlignment="1">
      <alignment horizontal="right"/>
    </xf>
    <xf numFmtId="0" fontId="0" fillId="34" borderId="0" xfId="0" applyFill="1" applyAlignment="1">
      <alignment horizontal="right"/>
    </xf>
    <xf numFmtId="187" fontId="3" fillId="34" borderId="0" xfId="0" applyNumberFormat="1" applyFont="1" applyFill="1" applyAlignment="1">
      <alignment/>
    </xf>
    <xf numFmtId="0" fontId="3" fillId="34" borderId="0" xfId="0" applyFont="1" applyFill="1" applyAlignment="1">
      <alignment/>
    </xf>
    <xf numFmtId="0" fontId="0" fillId="34" borderId="0" xfId="0" applyFont="1" applyFill="1" applyAlignment="1">
      <alignment horizontal="left" vertical="top" wrapText="1"/>
    </xf>
    <xf numFmtId="0" fontId="0" fillId="34" borderId="0" xfId="0" applyFill="1" applyAlignment="1">
      <alignment/>
    </xf>
    <xf numFmtId="0" fontId="0" fillId="34" borderId="0" xfId="0" applyFill="1" applyAlignment="1">
      <alignment horizontal="left" indent="1"/>
    </xf>
    <xf numFmtId="184" fontId="0" fillId="34" borderId="0" xfId="0" applyNumberFormat="1" applyFill="1" applyAlignment="1">
      <alignment/>
    </xf>
    <xf numFmtId="184" fontId="0" fillId="34" borderId="0" xfId="0" applyNumberFormat="1" applyFont="1" applyFill="1" applyAlignment="1">
      <alignment/>
    </xf>
    <xf numFmtId="4" fontId="0" fillId="34" borderId="0" xfId="0" applyNumberFormat="1" applyFill="1" applyAlignment="1">
      <alignment vertical="top"/>
    </xf>
    <xf numFmtId="9" fontId="0" fillId="34" borderId="0" xfId="0" applyNumberFormat="1" applyFill="1" applyAlignment="1">
      <alignment vertical="top"/>
    </xf>
    <xf numFmtId="0" fontId="3" fillId="34" borderId="0" xfId="0" applyFont="1" applyFill="1" applyAlignment="1">
      <alignment vertical="top"/>
    </xf>
    <xf numFmtId="4" fontId="3" fillId="0" borderId="11" xfId="0" applyNumberFormat="1" applyFont="1" applyFill="1" applyBorder="1" applyAlignment="1">
      <alignment horizontal="right" wrapText="1"/>
    </xf>
    <xf numFmtId="0" fontId="3" fillId="0" borderId="11" xfId="0" applyFont="1" applyFill="1" applyBorder="1" applyAlignment="1">
      <alignment wrapText="1"/>
    </xf>
    <xf numFmtId="0" fontId="3" fillId="0" borderId="11" xfId="0" applyFont="1" applyFill="1" applyBorder="1" applyAlignment="1">
      <alignment/>
    </xf>
    <xf numFmtId="4" fontId="3" fillId="0" borderId="0" xfId="0" applyNumberFormat="1" applyFont="1" applyFill="1" applyBorder="1" applyAlignment="1">
      <alignment horizontal="right"/>
    </xf>
    <xf numFmtId="0" fontId="3" fillId="0" borderId="0" xfId="0" applyFont="1" applyFill="1" applyBorder="1" applyAlignment="1">
      <alignment wrapText="1"/>
    </xf>
    <xf numFmtId="0" fontId="3" fillId="0" borderId="0" xfId="0" applyFont="1" applyFill="1" applyBorder="1" applyAlignment="1">
      <alignment/>
    </xf>
    <xf numFmtId="4" fontId="3" fillId="0" borderId="0" xfId="0" applyNumberFormat="1" applyFont="1"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4" fontId="0" fillId="0" borderId="0" xfId="0" applyNumberFormat="1" applyFill="1" applyAlignment="1">
      <alignment vertical="top"/>
    </xf>
    <xf numFmtId="0" fontId="0" fillId="0" borderId="0" xfId="0" applyFill="1" applyAlignment="1">
      <alignment vertical="top" wrapText="1"/>
    </xf>
    <xf numFmtId="8" fontId="3" fillId="34" borderId="0" xfId="0" applyNumberFormat="1" applyFont="1" applyFill="1" applyAlignment="1">
      <alignment/>
    </xf>
    <xf numFmtId="8" fontId="0" fillId="34" borderId="0" xfId="0" applyNumberFormat="1" applyFill="1" applyAlignment="1">
      <alignment vertical="top"/>
    </xf>
    <xf numFmtId="184" fontId="0" fillId="34" borderId="0" xfId="0" applyNumberFormat="1" applyFill="1" applyAlignment="1">
      <alignment vertical="top"/>
    </xf>
    <xf numFmtId="4" fontId="3" fillId="0" borderId="0" xfId="0" applyNumberFormat="1" applyFont="1" applyFill="1" applyAlignment="1">
      <alignment/>
    </xf>
    <xf numFmtId="4" fontId="0" fillId="0" borderId="0" xfId="0" applyNumberFormat="1" applyFill="1" applyAlignment="1">
      <alignment/>
    </xf>
    <xf numFmtId="0" fontId="3" fillId="0" borderId="0" xfId="0" applyFont="1" applyFill="1" applyAlignment="1">
      <alignment/>
    </xf>
    <xf numFmtId="4" fontId="0" fillId="34" borderId="0" xfId="0" applyNumberFormat="1" applyFill="1" applyAlignment="1">
      <alignment/>
    </xf>
    <xf numFmtId="8" fontId="0" fillId="34" borderId="0" xfId="0" applyNumberFormat="1" applyFill="1" applyAlignment="1">
      <alignment/>
    </xf>
    <xf numFmtId="0" fontId="0" fillId="34" borderId="0" xfId="0" applyFill="1" applyAlignment="1">
      <alignment horizontal="left" vertical="top" wrapText="1"/>
    </xf>
    <xf numFmtId="9" fontId="0" fillId="34" borderId="0" xfId="0" applyNumberFormat="1" applyFill="1" applyAlignment="1">
      <alignment/>
    </xf>
    <xf numFmtId="8" fontId="3" fillId="0" borderId="0" xfId="0" applyNumberFormat="1" applyFont="1" applyFill="1" applyAlignment="1">
      <alignment/>
    </xf>
    <xf numFmtId="9" fontId="3" fillId="0" borderId="0" xfId="0" applyNumberFormat="1" applyFont="1" applyFill="1" applyAlignment="1">
      <alignment/>
    </xf>
    <xf numFmtId="184" fontId="3" fillId="0" borderId="0" xfId="0" applyNumberFormat="1" applyFont="1" applyFill="1" applyAlignment="1">
      <alignment/>
    </xf>
    <xf numFmtId="8" fontId="0" fillId="34" borderId="0" xfId="0" applyNumberFormat="1" applyFill="1" applyAlignment="1">
      <alignment horizontal="right"/>
    </xf>
    <xf numFmtId="8" fontId="0" fillId="34" borderId="0" xfId="0" applyNumberFormat="1" applyFill="1" applyAlignment="1">
      <alignment/>
    </xf>
    <xf numFmtId="8" fontId="0" fillId="34" borderId="0" xfId="0" applyNumberFormat="1" applyFill="1" applyAlignment="1">
      <alignment horizontal="left"/>
    </xf>
    <xf numFmtId="8" fontId="0" fillId="34" borderId="0" xfId="53" applyNumberFormat="1" applyFont="1" applyFill="1" applyAlignment="1" applyProtection="1">
      <alignment/>
      <protection/>
    </xf>
    <xf numFmtId="0" fontId="2" fillId="34" borderId="0" xfId="0" applyFont="1" applyFill="1" applyAlignment="1">
      <alignment horizontal="center"/>
    </xf>
    <xf numFmtId="3" fontId="2" fillId="34" borderId="0" xfId="0" applyNumberFormat="1" applyFont="1" applyFill="1" applyAlignment="1">
      <alignment horizontal="center"/>
    </xf>
    <xf numFmtId="0" fontId="46"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20" sqref="A20"/>
    </sheetView>
  </sheetViews>
  <sheetFormatPr defaultColWidth="11.421875" defaultRowHeight="12.75"/>
  <cols>
    <col min="1" max="1" width="75.8515625" style="56" customWidth="1"/>
  </cols>
  <sheetData>
    <row r="1" s="2" customFormat="1" ht="45">
      <c r="A1" s="155" t="s">
        <v>319</v>
      </c>
    </row>
    <row r="3" ht="12">
      <c r="A3" s="56" t="s">
        <v>320</v>
      </c>
    </row>
    <row r="5" ht="36">
      <c r="A5" s="56" t="s">
        <v>321</v>
      </c>
    </row>
    <row r="7" ht="24">
      <c r="A7" s="144" t="s">
        <v>322</v>
      </c>
    </row>
    <row r="9" ht="24">
      <c r="A9" s="56" t="s">
        <v>323</v>
      </c>
    </row>
    <row r="11" ht="24">
      <c r="A11" s="56" t="s">
        <v>324</v>
      </c>
    </row>
    <row r="13" ht="36">
      <c r="A13" s="56" t="s">
        <v>325</v>
      </c>
    </row>
    <row r="15" ht="48">
      <c r="A15" s="56" t="s">
        <v>326</v>
      </c>
    </row>
    <row r="17" ht="24">
      <c r="A17" s="56" t="s">
        <v>327</v>
      </c>
    </row>
    <row r="19" ht="12">
      <c r="A19" s="56" t="s">
        <v>328</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F128"/>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D87" sqref="D87"/>
    </sheetView>
  </sheetViews>
  <sheetFormatPr defaultColWidth="11.421875" defaultRowHeight="13.5" customHeight="1"/>
  <cols>
    <col min="1" max="1" width="4.7109375" style="2" customWidth="1"/>
    <col min="2" max="2" width="37.28125" style="0" bestFit="1" customWidth="1"/>
    <col min="3" max="3" width="4.7109375" style="7" customWidth="1"/>
    <col min="4" max="5" width="19.7109375" style="0" customWidth="1"/>
    <col min="6" max="6" width="19.7109375" style="78" customWidth="1"/>
  </cols>
  <sheetData>
    <row r="1" spans="3:6" s="8" customFormat="1" ht="69.75" customHeight="1">
      <c r="C1" s="10"/>
      <c r="D1" s="38" t="s">
        <v>125</v>
      </c>
      <c r="E1" s="38" t="s">
        <v>126</v>
      </c>
      <c r="F1" s="84" t="s">
        <v>127</v>
      </c>
    </row>
    <row r="2" spans="2:6" s="1" customFormat="1" ht="6" customHeight="1">
      <c r="B2" s="41"/>
      <c r="C2" s="42"/>
      <c r="D2" s="39"/>
      <c r="E2" s="39"/>
      <c r="F2" s="85"/>
    </row>
    <row r="3" spans="2:6" s="36" customFormat="1" ht="15">
      <c r="B3" s="43" t="s">
        <v>148</v>
      </c>
      <c r="C3" s="44"/>
      <c r="D3" s="40"/>
      <c r="E3" s="40"/>
      <c r="F3" s="86"/>
    </row>
    <row r="4" spans="2:6" s="1" customFormat="1" ht="6" customHeight="1">
      <c r="B4" s="41"/>
      <c r="C4" s="42"/>
      <c r="D4" s="39"/>
      <c r="E4" s="39"/>
      <c r="F4" s="85"/>
    </row>
    <row r="5" spans="2:6" s="36" customFormat="1" ht="15.75" thickBot="1">
      <c r="B5" s="34" t="s">
        <v>147</v>
      </c>
      <c r="C5" s="37"/>
      <c r="D5" s="35"/>
      <c r="E5" s="35"/>
      <c r="F5" s="87"/>
    </row>
    <row r="6" spans="3:6" s="1" customFormat="1" ht="6" customHeight="1" thickBot="1">
      <c r="C6" s="6"/>
      <c r="D6" s="5"/>
      <c r="E6" s="5"/>
      <c r="F6" s="88"/>
    </row>
    <row r="7" spans="2:6" s="8" customFormat="1" ht="18" customHeight="1" thickBot="1">
      <c r="B7" s="9" t="s">
        <v>115</v>
      </c>
      <c r="C7" s="10"/>
      <c r="D7" s="13">
        <f>SUM(D10:D129)</f>
        <v>699581.055</v>
      </c>
      <c r="E7" s="13">
        <f>SUM(E10:E129)</f>
        <v>737162.6560776766</v>
      </c>
      <c r="F7" s="89"/>
    </row>
    <row r="8" spans="3:6" s="1" customFormat="1" ht="6" customHeight="1" thickBot="1">
      <c r="C8" s="6"/>
      <c r="D8" s="4"/>
      <c r="E8" s="4"/>
      <c r="F8" s="90"/>
    </row>
    <row r="9" spans="1:6" ht="18" customHeight="1">
      <c r="A9" s="11" t="s">
        <v>32</v>
      </c>
      <c r="B9" s="12"/>
      <c r="C9" s="7" t="s">
        <v>36</v>
      </c>
      <c r="E9" s="27"/>
      <c r="F9" s="91"/>
    </row>
    <row r="10" spans="2:6" ht="13.5" customHeight="1">
      <c r="B10" t="s">
        <v>214</v>
      </c>
      <c r="D10" s="143">
        <v>5000</v>
      </c>
      <c r="E10" s="143">
        <v>4960.2</v>
      </c>
      <c r="F10" s="150"/>
    </row>
    <row r="11" spans="2:6" ht="13.5" customHeight="1">
      <c r="B11" t="s">
        <v>280</v>
      </c>
      <c r="D11" s="143">
        <v>2800</v>
      </c>
      <c r="E11" s="143">
        <f>2887.5*1.19</f>
        <v>3436.125</v>
      </c>
      <c r="F11" s="150"/>
    </row>
    <row r="12" spans="2:6" ht="13.5" customHeight="1">
      <c r="B12" t="s">
        <v>281</v>
      </c>
      <c r="D12" s="143">
        <v>0</v>
      </c>
      <c r="E12" s="143">
        <v>2500</v>
      </c>
      <c r="F12" s="150"/>
    </row>
    <row r="13" spans="2:6" ht="13.5" customHeight="1">
      <c r="B13" t="s">
        <v>219</v>
      </c>
      <c r="D13" s="143">
        <v>0</v>
      </c>
      <c r="E13" s="143">
        <v>595</v>
      </c>
      <c r="F13" s="150"/>
    </row>
    <row r="14" spans="2:6" ht="13.5" customHeight="1">
      <c r="B14" t="s">
        <v>22</v>
      </c>
      <c r="D14" s="143">
        <v>5000</v>
      </c>
      <c r="E14" s="143">
        <f>1200+700</f>
        <v>1900</v>
      </c>
      <c r="F14" s="150"/>
    </row>
    <row r="15" spans="2:6" ht="13.5" customHeight="1">
      <c r="B15" t="s">
        <v>23</v>
      </c>
      <c r="D15" s="149">
        <v>0</v>
      </c>
      <c r="E15" s="149">
        <f>(3907.5+45+1250+750+700)*1.19</f>
        <v>7916.474999999999</v>
      </c>
      <c r="F15" s="150"/>
    </row>
    <row r="16" spans="2:6" ht="13.5" customHeight="1">
      <c r="B16" t="s">
        <v>215</v>
      </c>
      <c r="D16" s="143">
        <v>2250</v>
      </c>
      <c r="E16" s="143">
        <f>1900*1.19</f>
        <v>2261</v>
      </c>
      <c r="F16" s="150"/>
    </row>
    <row r="17" spans="2:6" ht="13.5" customHeight="1">
      <c r="B17" t="s">
        <v>104</v>
      </c>
      <c r="D17" s="149" t="s">
        <v>48</v>
      </c>
      <c r="E17" s="149" t="s">
        <v>48</v>
      </c>
      <c r="F17" s="150"/>
    </row>
    <row r="18" spans="2:6" ht="13.5" customHeight="1">
      <c r="B18" t="s">
        <v>228</v>
      </c>
      <c r="D18" s="143">
        <v>500</v>
      </c>
      <c r="E18" s="143">
        <v>500</v>
      </c>
      <c r="F18" s="150"/>
    </row>
    <row r="19" spans="2:6" ht="13.5" customHeight="1">
      <c r="B19" t="s">
        <v>95</v>
      </c>
      <c r="D19" s="143">
        <f>51823.96+40*188*1.19+10*33*1.19*2.65</f>
        <v>61813.41499999999</v>
      </c>
      <c r="E19" s="143">
        <f>48800*0.97*0.97*1.19</f>
        <v>54639.9448</v>
      </c>
      <c r="F19" s="150"/>
    </row>
    <row r="20" spans="2:6" ht="13.5" customHeight="1">
      <c r="B20" t="s">
        <v>229</v>
      </c>
      <c r="D20" s="143">
        <v>0</v>
      </c>
      <c r="E20" s="143">
        <f>1273.56*1.19</f>
        <v>1515.5364</v>
      </c>
      <c r="F20" s="150"/>
    </row>
    <row r="21" spans="2:6" ht="13.5" customHeight="1">
      <c r="B21" t="s">
        <v>41</v>
      </c>
      <c r="D21" s="149" t="s">
        <v>48</v>
      </c>
      <c r="E21" s="149" t="s">
        <v>48</v>
      </c>
      <c r="F21" s="150"/>
    </row>
    <row r="22" spans="2:6" ht="13.5" customHeight="1">
      <c r="B22" t="s">
        <v>90</v>
      </c>
      <c r="D22" s="149" t="s">
        <v>48</v>
      </c>
      <c r="E22" s="149" t="s">
        <v>48</v>
      </c>
      <c r="F22" s="150"/>
    </row>
    <row r="23" spans="2:6" ht="13.5" customHeight="1">
      <c r="B23" t="s">
        <v>94</v>
      </c>
      <c r="D23" s="149" t="s">
        <v>48</v>
      </c>
      <c r="E23" s="149" t="s">
        <v>48</v>
      </c>
      <c r="F23" s="150"/>
    </row>
    <row r="24" spans="2:6" ht="13.5" customHeight="1">
      <c r="B24" t="s">
        <v>96</v>
      </c>
      <c r="D24" s="149" t="s">
        <v>48</v>
      </c>
      <c r="E24" s="149" t="s">
        <v>216</v>
      </c>
      <c r="F24" s="150"/>
    </row>
    <row r="25" spans="2:6" ht="13.5" customHeight="1">
      <c r="B25" t="s">
        <v>97</v>
      </c>
      <c r="D25" s="149" t="s">
        <v>48</v>
      </c>
      <c r="E25" s="149" t="s">
        <v>48</v>
      </c>
      <c r="F25" s="150"/>
    </row>
    <row r="26" spans="2:6" ht="13.5" customHeight="1">
      <c r="B26" t="s">
        <v>98</v>
      </c>
      <c r="D26" s="149" t="s">
        <v>48</v>
      </c>
      <c r="E26" s="149" t="s">
        <v>216</v>
      </c>
      <c r="F26" s="150"/>
    </row>
    <row r="27" spans="2:6" ht="13.5" customHeight="1">
      <c r="B27" t="s">
        <v>47</v>
      </c>
      <c r="D27" s="143">
        <v>500</v>
      </c>
      <c r="E27" s="149" t="s">
        <v>48</v>
      </c>
      <c r="F27" s="151"/>
    </row>
    <row r="28" spans="2:6" ht="13.5" customHeight="1">
      <c r="B28" t="s">
        <v>225</v>
      </c>
      <c r="D28" s="149" t="s">
        <v>48</v>
      </c>
      <c r="E28" s="143">
        <f>1500*1.19*0.97*0.97</f>
        <v>1679.5065</v>
      </c>
      <c r="F28" s="150"/>
    </row>
    <row r="29" spans="2:6" ht="13.5" customHeight="1">
      <c r="B29" t="s">
        <v>226</v>
      </c>
      <c r="D29" s="149" t="s">
        <v>48</v>
      </c>
      <c r="E29" s="143">
        <v>600</v>
      </c>
      <c r="F29" s="150"/>
    </row>
    <row r="30" spans="2:6" ht="13.5" customHeight="1">
      <c r="B30" t="s">
        <v>202</v>
      </c>
      <c r="D30" s="143">
        <v>5000</v>
      </c>
      <c r="E30" s="143">
        <v>3021.19</v>
      </c>
      <c r="F30" s="151"/>
    </row>
    <row r="31" spans="2:6" ht="13.5" customHeight="1">
      <c r="B31" t="s">
        <v>234</v>
      </c>
      <c r="D31" s="149" t="s">
        <v>48</v>
      </c>
      <c r="E31" s="143">
        <f>(81+16)*3.75*1.19*0.97</f>
        <v>419.87662499999993</v>
      </c>
      <c r="F31" s="150"/>
    </row>
    <row r="32" spans="2:6" ht="13.5" customHeight="1">
      <c r="B32" t="s">
        <v>279</v>
      </c>
      <c r="D32" s="149" t="s">
        <v>142</v>
      </c>
      <c r="E32" s="149">
        <v>2341.5</v>
      </c>
      <c r="F32" s="150"/>
    </row>
    <row r="33" spans="2:6" ht="13.5" customHeight="1">
      <c r="B33" t="s">
        <v>233</v>
      </c>
      <c r="D33" s="149" t="s">
        <v>142</v>
      </c>
      <c r="E33" s="149" t="s">
        <v>142</v>
      </c>
      <c r="F33" s="151"/>
    </row>
    <row r="34" spans="2:6" ht="13.5" customHeight="1">
      <c r="B34" t="s">
        <v>282</v>
      </c>
      <c r="D34" s="149" t="s">
        <v>142</v>
      </c>
      <c r="E34" s="149">
        <f>5.9*377*1.19</f>
        <v>2646.917</v>
      </c>
      <c r="F34" s="150"/>
    </row>
    <row r="35" spans="2:6" ht="13.5" customHeight="1">
      <c r="B35" t="s">
        <v>103</v>
      </c>
      <c r="D35" s="143">
        <f>9*400</f>
        <v>3600</v>
      </c>
      <c r="E35" s="143">
        <f>4*190+1*300+1*240+2*500+1*190</f>
        <v>2490</v>
      </c>
      <c r="F35" s="151"/>
    </row>
    <row r="36" spans="2:6" ht="13.5" customHeight="1">
      <c r="B36" t="s">
        <v>174</v>
      </c>
      <c r="D36" s="149" t="s">
        <v>142</v>
      </c>
      <c r="E36" s="149">
        <v>4000</v>
      </c>
      <c r="F36" s="151"/>
    </row>
    <row r="37" spans="2:6" ht="13.5" customHeight="1">
      <c r="B37" t="s">
        <v>14</v>
      </c>
      <c r="D37" s="149" t="s">
        <v>17</v>
      </c>
      <c r="E37" s="149" t="s">
        <v>17</v>
      </c>
      <c r="F37" s="151"/>
    </row>
    <row r="38" spans="2:6" ht="13.5" customHeight="1">
      <c r="B38" t="s">
        <v>258</v>
      </c>
      <c r="D38" s="149" t="s">
        <v>17</v>
      </c>
      <c r="E38" s="149">
        <f>(957+108)*0.84*1.19*0.97</f>
        <v>1032.63678</v>
      </c>
      <c r="F38" s="151"/>
    </row>
    <row r="39" spans="2:6" ht="13.5" customHeight="1">
      <c r="B39" t="s">
        <v>257</v>
      </c>
      <c r="D39" s="149" t="s">
        <v>17</v>
      </c>
      <c r="E39" s="149">
        <f>493.53</f>
        <v>493.53</v>
      </c>
      <c r="F39" s="151"/>
    </row>
    <row r="40" spans="2:6" ht="13.5" customHeight="1">
      <c r="B40" t="s">
        <v>220</v>
      </c>
      <c r="D40" s="143">
        <v>205000</v>
      </c>
      <c r="E40" s="143">
        <f>214975.18</f>
        <v>214975.18</v>
      </c>
      <c r="F40" s="151"/>
    </row>
    <row r="41" spans="2:6" ht="13.5" customHeight="1">
      <c r="B41" t="s">
        <v>221</v>
      </c>
      <c r="D41" s="143">
        <v>45000</v>
      </c>
      <c r="E41" s="143">
        <f>45000+2547+269.09</f>
        <v>47816.09</v>
      </c>
      <c r="F41" s="151"/>
    </row>
    <row r="42" spans="2:6" ht="13.5" customHeight="1">
      <c r="B42" t="s">
        <v>146</v>
      </c>
      <c r="D42" s="143">
        <v>0</v>
      </c>
      <c r="E42" s="143">
        <v>0</v>
      </c>
      <c r="F42" s="151"/>
    </row>
    <row r="43" spans="2:6" ht="13.5" customHeight="1">
      <c r="B43" t="s">
        <v>119</v>
      </c>
      <c r="D43" s="143">
        <f>6225+285</f>
        <v>6510</v>
      </c>
      <c r="E43" s="143">
        <v>0</v>
      </c>
      <c r="F43" s="151"/>
    </row>
    <row r="44" spans="2:6" ht="13.5" customHeight="1">
      <c r="B44" t="s">
        <v>21</v>
      </c>
      <c r="D44" s="143">
        <f>6900+2547</f>
        <v>9447</v>
      </c>
      <c r="E44" s="143">
        <v>0</v>
      </c>
      <c r="F44" s="151"/>
    </row>
    <row r="45" spans="2:6" ht="13.5" customHeight="1">
      <c r="B45" t="s">
        <v>255</v>
      </c>
      <c r="D45" s="149" t="s">
        <v>142</v>
      </c>
      <c r="E45" s="149">
        <f>1000+8*12.5*8</f>
        <v>1800</v>
      </c>
      <c r="F45" s="151"/>
    </row>
    <row r="46" spans="2:6" ht="13.5" customHeight="1">
      <c r="B46" t="s">
        <v>241</v>
      </c>
      <c r="D46" s="149" t="s">
        <v>142</v>
      </c>
      <c r="E46" s="149">
        <f>(2*3*17+2*4*12+2*3*6)*0.8*1.19*5</f>
        <v>1113.84</v>
      </c>
      <c r="F46" s="151"/>
    </row>
    <row r="47" spans="2:6" ht="13.5" customHeight="1">
      <c r="B47" t="s">
        <v>124</v>
      </c>
      <c r="D47" s="149" t="s">
        <v>142</v>
      </c>
      <c r="E47" s="149" t="s">
        <v>142</v>
      </c>
      <c r="F47" s="151"/>
    </row>
    <row r="48" spans="2:6" ht="13.5" customHeight="1">
      <c r="B48" t="s">
        <v>240</v>
      </c>
      <c r="D48" s="149" t="s">
        <v>142</v>
      </c>
      <c r="E48" s="149" t="s">
        <v>142</v>
      </c>
      <c r="F48" s="151"/>
    </row>
    <row r="49" spans="2:6" ht="13.5" customHeight="1">
      <c r="B49" t="s">
        <v>46</v>
      </c>
      <c r="D49" s="149" t="s">
        <v>44</v>
      </c>
      <c r="E49" s="149" t="s">
        <v>44</v>
      </c>
      <c r="F49" s="151"/>
    </row>
    <row r="50" spans="2:6" ht="13.5" customHeight="1">
      <c r="B50" t="s">
        <v>52</v>
      </c>
      <c r="D50" s="149" t="s">
        <v>142</v>
      </c>
      <c r="E50" s="149" t="s">
        <v>44</v>
      </c>
      <c r="F50" s="151"/>
    </row>
    <row r="51" spans="2:6" ht="13.5" customHeight="1">
      <c r="B51" t="s">
        <v>256</v>
      </c>
      <c r="D51" s="143">
        <f>5*150</f>
        <v>750</v>
      </c>
      <c r="E51" s="143">
        <f>4*91.2</f>
        <v>364.8</v>
      </c>
      <c r="F51" s="152"/>
    </row>
    <row r="52" spans="2:6" ht="13.5" customHeight="1">
      <c r="B52" t="s">
        <v>89</v>
      </c>
      <c r="D52" s="149" t="s">
        <v>44</v>
      </c>
      <c r="E52" s="149" t="s">
        <v>44</v>
      </c>
      <c r="F52" s="150"/>
    </row>
    <row r="53" spans="2:6" ht="13.5" customHeight="1">
      <c r="B53" t="s">
        <v>45</v>
      </c>
      <c r="D53" s="149" t="s">
        <v>44</v>
      </c>
      <c r="E53" s="149" t="s">
        <v>44</v>
      </c>
      <c r="F53" s="150"/>
    </row>
    <row r="54" spans="2:6" ht="13.5" customHeight="1">
      <c r="B54" t="s">
        <v>50</v>
      </c>
      <c r="D54" s="149" t="s">
        <v>44</v>
      </c>
      <c r="E54" s="149">
        <f>12*300</f>
        <v>3600</v>
      </c>
      <c r="F54" s="150"/>
    </row>
    <row r="55" spans="2:6" ht="13.5" customHeight="1">
      <c r="B55" t="s">
        <v>42</v>
      </c>
      <c r="D55" s="149" t="s">
        <v>44</v>
      </c>
      <c r="E55" s="149" t="s">
        <v>44</v>
      </c>
      <c r="F55" s="150"/>
    </row>
    <row r="56" spans="2:6" ht="13.5" customHeight="1">
      <c r="B56" t="s">
        <v>117</v>
      </c>
      <c r="D56" s="149" t="s">
        <v>142</v>
      </c>
      <c r="E56" s="149" t="s">
        <v>142</v>
      </c>
      <c r="F56" s="151"/>
    </row>
    <row r="57" spans="2:6" ht="13.5" customHeight="1">
      <c r="B57" t="s">
        <v>43</v>
      </c>
      <c r="D57" s="149" t="s">
        <v>44</v>
      </c>
      <c r="E57" s="149" t="s">
        <v>44</v>
      </c>
      <c r="F57" s="150"/>
    </row>
    <row r="58" spans="2:6" ht="13.5" customHeight="1">
      <c r="B58" t="s">
        <v>116</v>
      </c>
      <c r="D58" s="143">
        <v>2000</v>
      </c>
      <c r="E58" s="143">
        <f>6850*1.19*0.97*0.97</f>
        <v>7669.746349999999</v>
      </c>
      <c r="F58" s="150"/>
    </row>
    <row r="59" spans="2:6" ht="13.5" customHeight="1">
      <c r="B59" t="s">
        <v>0</v>
      </c>
      <c r="D59" s="143">
        <f>18000*1.19</f>
        <v>21420</v>
      </c>
      <c r="E59" s="143">
        <f>22963.94-100174.45+99975.16</f>
        <v>22764.65000000001</v>
      </c>
      <c r="F59" s="150"/>
    </row>
    <row r="60" spans="2:6" ht="13.5" customHeight="1">
      <c r="B60" t="s">
        <v>91</v>
      </c>
      <c r="D60" s="149" t="s">
        <v>51</v>
      </c>
      <c r="E60" s="149" t="s">
        <v>51</v>
      </c>
      <c r="F60" s="150"/>
    </row>
    <row r="61" spans="2:6" ht="13.5" customHeight="1">
      <c r="B61" t="s">
        <v>49</v>
      </c>
      <c r="D61" s="149" t="s">
        <v>44</v>
      </c>
      <c r="E61" s="149" t="s">
        <v>51</v>
      </c>
      <c r="F61" s="150"/>
    </row>
    <row r="62" spans="2:6" ht="13.5" customHeight="1">
      <c r="B62" t="s">
        <v>53</v>
      </c>
      <c r="D62" s="149" t="s">
        <v>51</v>
      </c>
      <c r="E62" s="149" t="s">
        <v>51</v>
      </c>
      <c r="F62" s="150"/>
    </row>
    <row r="63" spans="2:6" ht="13.5" customHeight="1">
      <c r="B63" t="s">
        <v>54</v>
      </c>
      <c r="D63" s="149" t="s">
        <v>51</v>
      </c>
      <c r="E63" s="149" t="s">
        <v>51</v>
      </c>
      <c r="F63" s="150"/>
    </row>
    <row r="64" spans="2:6" ht="13.5" customHeight="1">
      <c r="B64" t="s">
        <v>1</v>
      </c>
      <c r="D64" s="149" t="s">
        <v>16</v>
      </c>
      <c r="E64" s="149" t="s">
        <v>51</v>
      </c>
      <c r="F64" s="150"/>
    </row>
    <row r="65" spans="2:6" ht="13.5" customHeight="1">
      <c r="B65" t="s">
        <v>2</v>
      </c>
      <c r="D65" s="149" t="s">
        <v>16</v>
      </c>
      <c r="E65" s="149" t="s">
        <v>51</v>
      </c>
      <c r="F65" s="150"/>
    </row>
    <row r="66" spans="2:6" ht="13.5" customHeight="1">
      <c r="B66" t="s">
        <v>15</v>
      </c>
      <c r="D66" s="149" t="s">
        <v>16</v>
      </c>
      <c r="E66" s="149" t="s">
        <v>51</v>
      </c>
      <c r="F66" s="150"/>
    </row>
    <row r="67" spans="2:6" ht="13.5" customHeight="1">
      <c r="B67" t="s">
        <v>3</v>
      </c>
      <c r="D67" s="143">
        <f>16000*1.19</f>
        <v>19040</v>
      </c>
      <c r="E67" s="143">
        <f>16000*1.19*0.97*0.97</f>
        <v>17914.735999999997</v>
      </c>
      <c r="F67" s="150"/>
    </row>
    <row r="68" spans="2:6" ht="13.5" customHeight="1">
      <c r="B68" t="s">
        <v>4</v>
      </c>
      <c r="D68" s="143">
        <f>Sanitärobjekte!C2</f>
        <v>11754.3</v>
      </c>
      <c r="E68" s="143">
        <f>8994.11*1.19*0.97*0.97</f>
        <v>10070.44413781</v>
      </c>
      <c r="F68" s="150"/>
    </row>
    <row r="69" spans="2:6" ht="13.5" customHeight="1">
      <c r="B69" t="s">
        <v>232</v>
      </c>
      <c r="D69" s="143">
        <v>0</v>
      </c>
      <c r="E69" s="143">
        <f>2098.49*0.97</f>
        <v>2035.5352999999998</v>
      </c>
      <c r="F69" s="150"/>
    </row>
    <row r="70" spans="2:6" ht="13.5" customHeight="1">
      <c r="B70" t="s">
        <v>118</v>
      </c>
      <c r="D70" s="143">
        <f>(2700+2080+4825)*1.19</f>
        <v>11429.949999999999</v>
      </c>
      <c r="E70" s="143">
        <f>(2080+4825+3150+810)*1.19*0.97*0.97</f>
        <v>12165.225414999997</v>
      </c>
      <c r="F70" s="150"/>
    </row>
    <row r="71" spans="2:6" ht="13.5" customHeight="1">
      <c r="B71" t="s">
        <v>222</v>
      </c>
      <c r="D71" s="143">
        <f>(11835-970)*1.19+11600+10000</f>
        <v>34529.35</v>
      </c>
      <c r="E71" s="143">
        <f>(16735.25+755+800)*1.19</f>
        <v>21765.3975</v>
      </c>
      <c r="F71" s="150"/>
    </row>
    <row r="72" spans="2:6" ht="13.5" customHeight="1">
      <c r="B72" t="s">
        <v>5</v>
      </c>
      <c r="D72" s="149">
        <v>3500</v>
      </c>
      <c r="E72" s="149">
        <f>6810*1.19*0.97*0.97</f>
        <v>7624.95951</v>
      </c>
      <c r="F72" s="150"/>
    </row>
    <row r="73" spans="2:6" ht="13.5" customHeight="1">
      <c r="B73" t="s">
        <v>206</v>
      </c>
      <c r="D73" s="149">
        <v>1000</v>
      </c>
      <c r="E73" s="149">
        <f>1820*0.97</f>
        <v>1765.3999999999999</v>
      </c>
      <c r="F73" s="150"/>
    </row>
    <row r="74" spans="2:6" ht="13.5" customHeight="1">
      <c r="B74" t="s">
        <v>213</v>
      </c>
      <c r="D74" s="149">
        <v>0</v>
      </c>
      <c r="E74" s="149" t="s">
        <v>218</v>
      </c>
      <c r="F74" s="150"/>
    </row>
    <row r="75" spans="2:6" ht="13.5" customHeight="1">
      <c r="B75" t="s">
        <v>6</v>
      </c>
      <c r="D75" s="149" t="s">
        <v>92</v>
      </c>
      <c r="E75" s="149" t="s">
        <v>218</v>
      </c>
      <c r="F75" s="150"/>
    </row>
    <row r="76" spans="2:6" ht="13.5" customHeight="1">
      <c r="B76" t="s">
        <v>211</v>
      </c>
      <c r="D76" s="143">
        <v>0</v>
      </c>
      <c r="E76" s="143">
        <v>-2000</v>
      </c>
      <c r="F76" s="150"/>
    </row>
    <row r="77" spans="2:6" ht="13.5" customHeight="1">
      <c r="B77" t="s">
        <v>212</v>
      </c>
      <c r="D77" s="143">
        <v>0</v>
      </c>
      <c r="E77" s="143">
        <v>-1380</v>
      </c>
      <c r="F77" s="150"/>
    </row>
    <row r="78" spans="2:6" ht="13.5" customHeight="1">
      <c r="B78" t="s">
        <v>235</v>
      </c>
      <c r="D78" s="143">
        <v>0</v>
      </c>
      <c r="E78" s="143">
        <v>600</v>
      </c>
      <c r="F78" s="150"/>
    </row>
    <row r="79" spans="2:6" ht="13.5" customHeight="1">
      <c r="B79" t="s">
        <v>173</v>
      </c>
      <c r="D79" s="143">
        <v>7440</v>
      </c>
      <c r="E79" s="143">
        <f>7094.76*0.96</f>
        <v>6810.9696</v>
      </c>
      <c r="F79" s="150"/>
    </row>
    <row r="80" spans="2:6" ht="13.5" customHeight="1">
      <c r="B80" t="s">
        <v>93</v>
      </c>
      <c r="D80" s="149" t="s">
        <v>142</v>
      </c>
      <c r="E80" s="149" t="s">
        <v>142</v>
      </c>
      <c r="F80" s="151"/>
    </row>
    <row r="81" spans="2:6" ht="13.5" customHeight="1">
      <c r="B81" t="s">
        <v>7</v>
      </c>
      <c r="C81" s="153">
        <v>200</v>
      </c>
      <c r="D81" s="149" t="s">
        <v>44</v>
      </c>
      <c r="E81" s="149" t="s">
        <v>44</v>
      </c>
      <c r="F81" s="150"/>
    </row>
    <row r="82" spans="2:6" ht="13.5" customHeight="1">
      <c r="B82" t="s">
        <v>123</v>
      </c>
      <c r="C82" s="153">
        <f>12*4.5</f>
        <v>54</v>
      </c>
      <c r="D82" s="149" t="s">
        <v>142</v>
      </c>
      <c r="E82" s="149" t="s">
        <v>142</v>
      </c>
      <c r="F82" s="151"/>
    </row>
    <row r="83" spans="2:6" ht="13.5" customHeight="1">
      <c r="B83" t="s">
        <v>120</v>
      </c>
      <c r="C83" s="153">
        <f>10+2+15+10</f>
        <v>37</v>
      </c>
      <c r="D83" s="149" t="s">
        <v>142</v>
      </c>
      <c r="E83" s="149" t="s">
        <v>142</v>
      </c>
      <c r="F83" s="151"/>
    </row>
    <row r="84" spans="2:6" ht="13.5" customHeight="1">
      <c r="B84" t="s">
        <v>121</v>
      </c>
      <c r="C84" s="153">
        <f>10+10</f>
        <v>20</v>
      </c>
      <c r="D84" s="149" t="s">
        <v>142</v>
      </c>
      <c r="E84" s="149" t="s">
        <v>142</v>
      </c>
      <c r="F84" s="151"/>
    </row>
    <row r="85" spans="2:6" ht="13.5" customHeight="1">
      <c r="B85" t="s">
        <v>122</v>
      </c>
      <c r="C85" s="153">
        <v>257</v>
      </c>
      <c r="D85" s="149" t="s">
        <v>142</v>
      </c>
      <c r="E85" s="149" t="s">
        <v>142</v>
      </c>
      <c r="F85" s="151"/>
    </row>
    <row r="86" spans="2:6" ht="13.5" customHeight="1">
      <c r="B86" t="s">
        <v>144</v>
      </c>
      <c r="D86" s="23">
        <f>Bodenbelag!$H$44</f>
        <v>15700</v>
      </c>
      <c r="E86" s="23">
        <f>Bodenbelag!I43</f>
        <v>19204.850448200003</v>
      </c>
      <c r="F86" s="92"/>
    </row>
    <row r="87" spans="2:6" ht="13.5" customHeight="1">
      <c r="B87" t="s">
        <v>145</v>
      </c>
      <c r="D87" s="23">
        <f>Eigenleistungen!C2</f>
        <v>20478.6</v>
      </c>
      <c r="E87" s="23">
        <f>Eigenleistungen!D1</f>
        <v>33510.141245</v>
      </c>
      <c r="F87" s="92"/>
    </row>
    <row r="88" spans="2:6" ht="13.5" customHeight="1">
      <c r="B88" t="s">
        <v>242</v>
      </c>
      <c r="D88" s="143">
        <v>12500</v>
      </c>
      <c r="E88" s="143">
        <f>16408.14*0.97</f>
        <v>15915.895799999998</v>
      </c>
      <c r="F88" s="150"/>
    </row>
    <row r="89" spans="2:6" ht="13.5" customHeight="1">
      <c r="B89" t="s">
        <v>18</v>
      </c>
      <c r="D89" s="143">
        <v>14000</v>
      </c>
      <c r="E89" s="23">
        <f>Küche!D1</f>
        <v>13800</v>
      </c>
      <c r="F89" s="150"/>
    </row>
    <row r="90" spans="2:6" ht="13.5" customHeight="1">
      <c r="B90" t="s">
        <v>37</v>
      </c>
      <c r="C90" s="153">
        <f>6*6+6*5+5*1+16*3+4*10</f>
        <v>159</v>
      </c>
      <c r="D90" s="149" t="s">
        <v>142</v>
      </c>
      <c r="E90" s="149" t="s">
        <v>142</v>
      </c>
      <c r="F90" s="151"/>
    </row>
    <row r="91" spans="2:6" ht="13.5" customHeight="1">
      <c r="B91" t="s">
        <v>38</v>
      </c>
      <c r="C91" s="153">
        <f>80+50+30</f>
        <v>160</v>
      </c>
      <c r="D91" s="149" t="s">
        <v>142</v>
      </c>
      <c r="E91" s="149" t="s">
        <v>142</v>
      </c>
      <c r="F91" s="151"/>
    </row>
    <row r="92" spans="2:6" ht="13.5" customHeight="1">
      <c r="B92" t="s">
        <v>39</v>
      </c>
      <c r="D92" s="149" t="s">
        <v>142</v>
      </c>
      <c r="E92" s="149" t="s">
        <v>142</v>
      </c>
      <c r="F92" s="151"/>
    </row>
    <row r="93" spans="2:6" ht="13.5" customHeight="1">
      <c r="B93" t="s">
        <v>204</v>
      </c>
      <c r="D93" s="149" t="s">
        <v>142</v>
      </c>
      <c r="E93" s="149" t="s">
        <v>142</v>
      </c>
      <c r="F93" s="151"/>
    </row>
    <row r="94" spans="2:6" ht="13.5" customHeight="1">
      <c r="B94" t="s">
        <v>40</v>
      </c>
      <c r="D94" s="149" t="s">
        <v>44</v>
      </c>
      <c r="E94" s="149" t="s">
        <v>44</v>
      </c>
      <c r="F94" s="151"/>
    </row>
    <row r="95" spans="2:6" ht="13.5" customHeight="1">
      <c r="B95" t="s">
        <v>11</v>
      </c>
      <c r="D95" s="149" t="s">
        <v>44</v>
      </c>
      <c r="E95" s="149" t="s">
        <v>44</v>
      </c>
      <c r="F95" s="151"/>
    </row>
    <row r="96" spans="2:6" ht="13.5" customHeight="1">
      <c r="B96" t="s">
        <v>12</v>
      </c>
      <c r="D96" s="149" t="s">
        <v>44</v>
      </c>
      <c r="E96" s="149" t="s">
        <v>44</v>
      </c>
      <c r="F96" s="151"/>
    </row>
    <row r="97" spans="2:6" ht="13.5" customHeight="1">
      <c r="B97" t="s">
        <v>19</v>
      </c>
      <c r="D97" s="143">
        <v>1500</v>
      </c>
      <c r="E97" s="143">
        <v>900</v>
      </c>
      <c r="F97" s="150"/>
    </row>
    <row r="98" spans="1:6" ht="18" customHeight="1">
      <c r="A98" s="11" t="s">
        <v>20</v>
      </c>
      <c r="B98" s="12"/>
      <c r="D98" s="27"/>
      <c r="E98" s="27"/>
      <c r="F98" s="91"/>
    </row>
    <row r="99" spans="2:6" ht="13.5" customHeight="1">
      <c r="B99" t="s">
        <v>102</v>
      </c>
      <c r="D99" s="143">
        <v>650</v>
      </c>
      <c r="E99" s="143">
        <v>92</v>
      </c>
      <c r="F99" s="150"/>
    </row>
    <row r="100" spans="2:6" ht="13.5" customHeight="1">
      <c r="B100" t="s">
        <v>31</v>
      </c>
      <c r="D100" s="143">
        <v>3000</v>
      </c>
      <c r="E100" s="143">
        <v>2000</v>
      </c>
      <c r="F100" s="150"/>
    </row>
    <row r="101" spans="2:6" ht="13.5" customHeight="1">
      <c r="B101" t="s">
        <v>149</v>
      </c>
      <c r="D101" s="143">
        <v>0</v>
      </c>
      <c r="E101" s="143">
        <v>4000</v>
      </c>
      <c r="F101" s="150"/>
    </row>
    <row r="102" spans="2:6" ht="13.5" customHeight="1">
      <c r="B102" t="s">
        <v>150</v>
      </c>
      <c r="D102" s="143">
        <v>0</v>
      </c>
      <c r="E102" s="143">
        <v>540</v>
      </c>
      <c r="F102" s="150"/>
    </row>
    <row r="103" spans="2:6" ht="13.5" customHeight="1">
      <c r="B103" t="s">
        <v>227</v>
      </c>
      <c r="D103" s="143">
        <v>0</v>
      </c>
      <c r="E103" s="143">
        <f>100000*0.0025+100000*0.08/12</f>
        <v>916.6666666666666</v>
      </c>
      <c r="F103" s="150"/>
    </row>
    <row r="104" spans="2:6" ht="13.5" customHeight="1">
      <c r="B104" t="s">
        <v>224</v>
      </c>
      <c r="D104" s="143">
        <v>0</v>
      </c>
      <c r="E104" s="143">
        <v>600</v>
      </c>
      <c r="F104" s="150"/>
    </row>
    <row r="105" spans="2:6" ht="13.5" customHeight="1">
      <c r="B105" t="s">
        <v>230</v>
      </c>
      <c r="D105" s="143">
        <v>0</v>
      </c>
      <c r="E105" s="143">
        <v>20</v>
      </c>
      <c r="F105" s="150"/>
    </row>
    <row r="106" spans="2:6" ht="13.5" customHeight="1">
      <c r="B106" t="s">
        <v>223</v>
      </c>
      <c r="D106" s="143">
        <v>0</v>
      </c>
      <c r="E106" s="143">
        <f>115.88+761.6+382.35</f>
        <v>1259.83</v>
      </c>
      <c r="F106" s="150"/>
    </row>
    <row r="107" spans="2:6" ht="13.5" customHeight="1">
      <c r="B107" t="s">
        <v>9</v>
      </c>
      <c r="D107" s="149" t="s">
        <v>44</v>
      </c>
      <c r="E107" s="149">
        <v>0</v>
      </c>
      <c r="F107" s="150"/>
    </row>
    <row r="108" spans="2:6" ht="13.5" customHeight="1">
      <c r="B108" t="s">
        <v>285</v>
      </c>
      <c r="D108" s="143">
        <v>1600</v>
      </c>
      <c r="E108" s="143">
        <f>1450*0.96</f>
        <v>1392</v>
      </c>
      <c r="F108" s="150"/>
    </row>
    <row r="109" spans="2:6" ht="13.5" customHeight="1">
      <c r="B109" t="s">
        <v>10</v>
      </c>
      <c r="D109" s="149" t="s">
        <v>44</v>
      </c>
      <c r="E109" s="149">
        <f>(600+200)*1.19</f>
        <v>952</v>
      </c>
      <c r="F109" s="150"/>
    </row>
    <row r="110" spans="2:6" ht="13.5" customHeight="1">
      <c r="B110" t="s">
        <v>13</v>
      </c>
      <c r="D110" s="149" t="s">
        <v>44</v>
      </c>
      <c r="E110" s="149">
        <v>0</v>
      </c>
      <c r="F110" s="150"/>
    </row>
    <row r="111" spans="1:6" ht="18" customHeight="1">
      <c r="A111" s="11" t="s">
        <v>24</v>
      </c>
      <c r="B111" s="12"/>
      <c r="D111" s="27"/>
      <c r="E111" s="27"/>
      <c r="F111" s="91"/>
    </row>
    <row r="112" spans="2:6" ht="13.5" customHeight="1">
      <c r="B112" t="s">
        <v>286</v>
      </c>
      <c r="D112" s="143">
        <v>90000</v>
      </c>
      <c r="E112" s="143">
        <v>90000</v>
      </c>
      <c r="F112" s="150"/>
    </row>
    <row r="113" spans="2:6" ht="13.5" customHeight="1">
      <c r="B113" t="s">
        <v>25</v>
      </c>
      <c r="D113" s="143">
        <f>0.035*D112</f>
        <v>3150.0000000000005</v>
      </c>
      <c r="E113" s="143">
        <v>3150</v>
      </c>
      <c r="F113" s="150"/>
    </row>
    <row r="114" spans="2:6" ht="13.5" customHeight="1">
      <c r="B114" t="s">
        <v>26</v>
      </c>
      <c r="D114" s="143">
        <v>620</v>
      </c>
      <c r="E114" s="143">
        <v>616.48</v>
      </c>
      <c r="F114" s="150"/>
    </row>
    <row r="115" spans="2:6" ht="13.5" customHeight="1">
      <c r="B115" t="s">
        <v>236</v>
      </c>
      <c r="D115" s="143">
        <v>0</v>
      </c>
      <c r="E115" s="143">
        <v>81</v>
      </c>
      <c r="F115" s="150"/>
    </row>
    <row r="116" spans="2:6" ht="13.5" customHeight="1">
      <c r="B116" t="s">
        <v>28</v>
      </c>
      <c r="D116" s="143">
        <v>210</v>
      </c>
      <c r="E116" s="143">
        <v>210</v>
      </c>
      <c r="F116" s="150"/>
    </row>
    <row r="117" spans="2:6" ht="13.5" customHeight="1">
      <c r="B117" t="s">
        <v>291</v>
      </c>
      <c r="D117" s="143">
        <v>1524.39</v>
      </c>
      <c r="E117" s="143">
        <v>1448.83</v>
      </c>
      <c r="F117" s="150"/>
    </row>
    <row r="118" spans="2:6" ht="13.5" customHeight="1">
      <c r="B118" t="s">
        <v>27</v>
      </c>
      <c r="D118" s="143">
        <v>732</v>
      </c>
      <c r="E118" s="143">
        <v>872.5</v>
      </c>
      <c r="F118" s="150"/>
    </row>
    <row r="119" spans="2:6" ht="13.5" customHeight="1">
      <c r="B119" t="s">
        <v>29</v>
      </c>
      <c r="D119" s="143">
        <f>(559+554)*4.05</f>
        <v>4507.65</v>
      </c>
      <c r="E119" s="143">
        <f>(559+554)*4.05</f>
        <v>4507.65</v>
      </c>
      <c r="F119" s="150"/>
    </row>
    <row r="120" spans="2:6" ht="13.5" customHeight="1">
      <c r="B120" t="s">
        <v>30</v>
      </c>
      <c r="D120" s="143">
        <v>904.4</v>
      </c>
      <c r="E120" s="143">
        <v>904.4</v>
      </c>
      <c r="F120" s="150"/>
    </row>
    <row r="121" spans="2:6" ht="13.5" customHeight="1">
      <c r="B121" t="s">
        <v>287</v>
      </c>
      <c r="D121" s="143">
        <f>(559+554)*40/5*3</f>
        <v>26712</v>
      </c>
      <c r="E121" s="143">
        <v>26712</v>
      </c>
      <c r="F121" s="150"/>
    </row>
    <row r="122" spans="2:6" ht="13.5" customHeight="1">
      <c r="B122" t="s">
        <v>288</v>
      </c>
      <c r="D122" s="143">
        <v>0</v>
      </c>
      <c r="E122" s="143">
        <v>1300</v>
      </c>
      <c r="F122" s="150"/>
    </row>
    <row r="123" spans="2:6" ht="13.5" customHeight="1">
      <c r="B123" t="s">
        <v>289</v>
      </c>
      <c r="D123" s="143">
        <f>(559+554)*40/5*2</f>
        <v>17808</v>
      </c>
      <c r="E123" s="143">
        <v>17808</v>
      </c>
      <c r="F123" s="150"/>
    </row>
    <row r="124" spans="1:6" ht="18" customHeight="1">
      <c r="A124" s="11" t="s">
        <v>290</v>
      </c>
      <c r="B124" s="12"/>
      <c r="D124" s="27"/>
      <c r="E124" s="27"/>
      <c r="F124" s="91"/>
    </row>
    <row r="125" spans="2:6" ht="13.5" customHeight="1">
      <c r="B125" t="s">
        <v>33</v>
      </c>
      <c r="C125" s="153">
        <v>800</v>
      </c>
      <c r="D125" s="143">
        <f>$C$125*5</f>
        <v>4000</v>
      </c>
      <c r="E125" s="143">
        <v>6200</v>
      </c>
      <c r="F125" s="150"/>
    </row>
    <row r="126" spans="2:6" ht="13.5" customHeight="1">
      <c r="B126" t="s">
        <v>34</v>
      </c>
      <c r="C126" s="153">
        <v>120</v>
      </c>
      <c r="D126" s="143">
        <f>10*3*$C$126</f>
        <v>3600</v>
      </c>
      <c r="E126" s="143">
        <v>3452</v>
      </c>
      <c r="F126" s="150"/>
    </row>
    <row r="127" spans="2:6" ht="13.5" customHeight="1">
      <c r="B127" t="s">
        <v>35</v>
      </c>
      <c r="C127" s="153">
        <v>560</v>
      </c>
      <c r="D127" s="143">
        <f>$C$127*10*0.75</f>
        <v>4200</v>
      </c>
      <c r="E127" s="143">
        <v>1870</v>
      </c>
      <c r="F127" s="150"/>
    </row>
    <row r="128" spans="2:6" ht="13.5" customHeight="1">
      <c r="B128" t="s">
        <v>8</v>
      </c>
      <c r="C128" s="154">
        <f>ROUND(SUM(Bodenbelag!C5:Bodenbelag!C32),-1)</f>
        <v>460</v>
      </c>
      <c r="D128" s="143">
        <f>1.5*10*$C$128</f>
        <v>6900</v>
      </c>
      <c r="E128" s="143">
        <v>6500</v>
      </c>
      <c r="F128" s="150"/>
    </row>
  </sheetData>
  <sheetProtection/>
  <printOptions/>
  <pageMargins left="1.1811023622047245" right="0.5905511811023623" top="0.5905511811023623" bottom="0.5905511811023623" header="0.35" footer="0.3937007874015748"/>
  <pageSetup fitToHeight="1" fitToWidth="1" horizontalDpi="300" verticalDpi="300" orientation="portrait" paperSize="9" scale="41"/>
  <headerFooter alignWithMargins="0">
    <oddHeader>&amp;C&amp;"Arial,Fett"&amp;20Bauvorhaben Ziemer, Kalenborn</oddHeader>
    <oddFooter>&amp;CSeite &amp;P von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workbookViewId="0" topLeftCell="A1">
      <selection activeCell="K47" sqref="K47"/>
    </sheetView>
  </sheetViews>
  <sheetFormatPr defaultColWidth="11.421875" defaultRowHeight="12.75"/>
  <cols>
    <col min="1" max="1" width="2.28125" style="0" customWidth="1"/>
    <col min="2" max="2" width="14.7109375" style="0" customWidth="1"/>
    <col min="3" max="3" width="12.7109375" style="14" customWidth="1"/>
    <col min="4" max="4" width="9.7109375" style="14" bestFit="1" customWidth="1"/>
    <col min="5" max="5" width="10.7109375" style="0" customWidth="1"/>
    <col min="6" max="6" width="37.00390625" style="0" bestFit="1" customWidth="1"/>
    <col min="7" max="7" width="13.421875" style="0" bestFit="1" customWidth="1"/>
    <col min="8" max="8" width="11.421875" style="3" customWidth="1"/>
    <col min="10" max="10" width="1.7109375" style="0" customWidth="1"/>
    <col min="12" max="12" width="12.7109375" style="0" customWidth="1"/>
    <col min="13" max="13" width="12.00390625" style="0" customWidth="1"/>
    <col min="14" max="14" width="11.7109375" style="0" customWidth="1"/>
  </cols>
  <sheetData>
    <row r="1" spans="8:9" ht="12">
      <c r="H1" s="106" t="s">
        <v>201</v>
      </c>
      <c r="I1" s="107"/>
    </row>
    <row r="2" spans="1:14" s="15" customFormat="1" ht="24.75" thickBot="1">
      <c r="A2" s="18"/>
      <c r="B2" s="18" t="s">
        <v>87</v>
      </c>
      <c r="C2" s="96" t="s">
        <v>246</v>
      </c>
      <c r="D2" s="125" t="s">
        <v>254</v>
      </c>
      <c r="E2" s="18" t="s">
        <v>88</v>
      </c>
      <c r="F2" s="127" t="s">
        <v>247</v>
      </c>
      <c r="G2" s="127" t="s">
        <v>127</v>
      </c>
      <c r="H2" s="19" t="s">
        <v>199</v>
      </c>
      <c r="I2" s="81" t="s">
        <v>200</v>
      </c>
      <c r="K2" s="15" t="s">
        <v>243</v>
      </c>
      <c r="L2" s="93" t="s">
        <v>248</v>
      </c>
      <c r="M2" s="55" t="s">
        <v>249</v>
      </c>
      <c r="N2" s="72" t="s">
        <v>250</v>
      </c>
    </row>
    <row r="3" spans="1:8" s="15" customFormat="1" ht="12">
      <c r="A3" s="20"/>
      <c r="B3" s="20"/>
      <c r="C3" s="21"/>
      <c r="D3" s="128"/>
      <c r="E3" s="20"/>
      <c r="F3" s="130"/>
      <c r="G3" s="130"/>
      <c r="H3" s="22"/>
    </row>
    <row r="4" spans="1:11" s="15" customFormat="1" ht="12">
      <c r="A4" s="15" t="s">
        <v>68</v>
      </c>
      <c r="C4" s="16"/>
      <c r="D4" s="139"/>
      <c r="F4" s="141"/>
      <c r="G4" s="141"/>
      <c r="H4" s="17"/>
      <c r="K4" s="17"/>
    </row>
    <row r="5" spans="2:14" ht="12">
      <c r="B5" t="s">
        <v>56</v>
      </c>
      <c r="C5" s="142">
        <v>14.527</v>
      </c>
      <c r="D5" s="140">
        <f>ROUND(C5*(1+L5),1)</f>
        <v>15.7</v>
      </c>
      <c r="E5" s="118" t="s">
        <v>57</v>
      </c>
      <c r="F5" s="118" t="s">
        <v>317</v>
      </c>
      <c r="G5" s="118" t="s">
        <v>309</v>
      </c>
      <c r="H5" s="3">
        <f>C5*(IF(E5="Parkett",$C$35,IF(E5="Fliesen 1",$C$37,IF(E5="Laminat",$C$36,$C$38))))</f>
        <v>653.7149999999999</v>
      </c>
      <c r="I5" s="25">
        <f>N5</f>
        <v>549.5</v>
      </c>
      <c r="K5" s="143">
        <f>29</f>
        <v>29</v>
      </c>
      <c r="L5" s="145">
        <v>0.08</v>
      </c>
      <c r="M5" s="120">
        <v>6</v>
      </c>
      <c r="N5" s="3">
        <f>D5*(K5+M5)</f>
        <v>549.5</v>
      </c>
    </row>
    <row r="6" spans="2:14" ht="12">
      <c r="B6" t="s">
        <v>58</v>
      </c>
      <c r="C6" s="142">
        <v>14.527</v>
      </c>
      <c r="D6" s="140">
        <f aca="true" t="shared" si="0" ref="D6:D32">ROUND(C6*(1+L6),1)</f>
        <v>15.7</v>
      </c>
      <c r="E6" s="118" t="s">
        <v>57</v>
      </c>
      <c r="F6" s="118" t="s">
        <v>317</v>
      </c>
      <c r="G6" s="118" t="s">
        <v>309</v>
      </c>
      <c r="H6" s="3">
        <f aca="true" t="shared" si="1" ref="H6:H32">C6*(IF(E6="Parkett",$C$35,IF(E6="Fliesen 1",$C$37,IF(E6="Laminat",$C$36,$C$38))))</f>
        <v>653.7149999999999</v>
      </c>
      <c r="I6" s="25">
        <f aca="true" t="shared" si="2" ref="I6:I32">N6</f>
        <v>549.5</v>
      </c>
      <c r="K6" s="143">
        <f>29</f>
        <v>29</v>
      </c>
      <c r="L6" s="145">
        <v>0.08</v>
      </c>
      <c r="M6" s="120">
        <v>6</v>
      </c>
      <c r="N6" s="3">
        <f aca="true" t="shared" si="3" ref="N6:N32">D6*(K6+M6)</f>
        <v>549.5</v>
      </c>
    </row>
    <row r="7" spans="2:14" ht="12">
      <c r="B7" t="s">
        <v>59</v>
      </c>
      <c r="C7" s="142">
        <v>16.04</v>
      </c>
      <c r="D7" s="140">
        <f t="shared" si="0"/>
        <v>17.3</v>
      </c>
      <c r="E7" s="118" t="s">
        <v>57</v>
      </c>
      <c r="F7" s="118" t="s">
        <v>317</v>
      </c>
      <c r="G7" s="118" t="s">
        <v>309</v>
      </c>
      <c r="H7" s="3">
        <f t="shared" si="1"/>
        <v>721.8</v>
      </c>
      <c r="I7" s="25">
        <f t="shared" si="2"/>
        <v>605.5</v>
      </c>
      <c r="K7" s="143">
        <f>29</f>
        <v>29</v>
      </c>
      <c r="L7" s="145">
        <v>0.08</v>
      </c>
      <c r="M7" s="120">
        <v>6</v>
      </c>
      <c r="N7" s="3">
        <f t="shared" si="3"/>
        <v>605.5</v>
      </c>
    </row>
    <row r="8" spans="2:14" ht="12">
      <c r="B8" t="s">
        <v>60</v>
      </c>
      <c r="C8" s="142">
        <v>34.407</v>
      </c>
      <c r="D8" s="140">
        <f t="shared" si="0"/>
        <v>36.8</v>
      </c>
      <c r="E8" s="118" t="s">
        <v>57</v>
      </c>
      <c r="F8" s="118" t="s">
        <v>308</v>
      </c>
      <c r="G8" s="118" t="s">
        <v>309</v>
      </c>
      <c r="H8" s="3">
        <f t="shared" si="1"/>
        <v>1548.3149999999998</v>
      </c>
      <c r="I8" s="25">
        <f t="shared" si="2"/>
        <v>1914.8322111999998</v>
      </c>
      <c r="K8" s="143">
        <f>39.88*1.19*0.97</f>
        <v>46.033484</v>
      </c>
      <c r="L8" s="145">
        <v>0.07</v>
      </c>
      <c r="M8" s="120">
        <v>6</v>
      </c>
      <c r="N8" s="3">
        <f t="shared" si="3"/>
        <v>1914.8322111999998</v>
      </c>
    </row>
    <row r="9" spans="2:14" ht="12">
      <c r="B9" t="s">
        <v>61</v>
      </c>
      <c r="C9" s="142">
        <v>17.519</v>
      </c>
      <c r="D9" s="140">
        <f t="shared" si="0"/>
        <v>18.7</v>
      </c>
      <c r="E9" s="118" t="s">
        <v>57</v>
      </c>
      <c r="F9" s="118" t="s">
        <v>308</v>
      </c>
      <c r="G9" s="118" t="s">
        <v>309</v>
      </c>
      <c r="H9" s="3">
        <f t="shared" si="1"/>
        <v>788.3549999999999</v>
      </c>
      <c r="I9" s="25">
        <f t="shared" si="2"/>
        <v>973.0261508</v>
      </c>
      <c r="K9" s="143">
        <f>39.88*1.19*0.97</f>
        <v>46.033484</v>
      </c>
      <c r="L9" s="145">
        <v>0.07</v>
      </c>
      <c r="M9" s="120">
        <v>6</v>
      </c>
      <c r="N9" s="3">
        <f t="shared" si="3"/>
        <v>973.0261508</v>
      </c>
    </row>
    <row r="10" spans="2:14" ht="12">
      <c r="B10" t="s">
        <v>62</v>
      </c>
      <c r="C10" s="142">
        <v>16.23</v>
      </c>
      <c r="D10" s="140">
        <f t="shared" si="0"/>
        <v>17.4</v>
      </c>
      <c r="E10" s="118" t="s">
        <v>57</v>
      </c>
      <c r="F10" s="118" t="s">
        <v>308</v>
      </c>
      <c r="G10" s="118" t="s">
        <v>309</v>
      </c>
      <c r="H10" s="3">
        <f t="shared" si="1"/>
        <v>730.35</v>
      </c>
      <c r="I10" s="25">
        <f t="shared" si="2"/>
        <v>905.3826216</v>
      </c>
      <c r="K10" s="143">
        <f>39.88*1.19*0.97</f>
        <v>46.033484</v>
      </c>
      <c r="L10" s="145">
        <v>0.07</v>
      </c>
      <c r="M10" s="120">
        <v>6</v>
      </c>
      <c r="N10" s="3">
        <f t="shared" si="3"/>
        <v>905.3826216</v>
      </c>
    </row>
    <row r="11" spans="2:14" ht="12">
      <c r="B11" t="s">
        <v>63</v>
      </c>
      <c r="C11" s="142">
        <v>5.985</v>
      </c>
      <c r="D11" s="140">
        <f t="shared" si="0"/>
        <v>6.4</v>
      </c>
      <c r="E11" s="118" t="s">
        <v>57</v>
      </c>
      <c r="F11" s="118" t="s">
        <v>308</v>
      </c>
      <c r="G11" s="118" t="s">
        <v>309</v>
      </c>
      <c r="H11" s="3">
        <f t="shared" si="1"/>
        <v>269.325</v>
      </c>
      <c r="I11" s="25">
        <f t="shared" si="2"/>
        <v>333.0142976</v>
      </c>
      <c r="K11" s="143">
        <f>39.88*1.19*0.97</f>
        <v>46.033484</v>
      </c>
      <c r="L11" s="145">
        <v>0.07</v>
      </c>
      <c r="M11" s="120">
        <v>6</v>
      </c>
      <c r="N11" s="3">
        <f t="shared" si="3"/>
        <v>333.0142976</v>
      </c>
    </row>
    <row r="12" spans="2:16" ht="12">
      <c r="B12" t="s">
        <v>64</v>
      </c>
      <c r="C12" s="142">
        <v>9.046</v>
      </c>
      <c r="D12" s="140">
        <f t="shared" si="0"/>
        <v>9.7</v>
      </c>
      <c r="E12" s="118" t="s">
        <v>83</v>
      </c>
      <c r="F12" s="118" t="s">
        <v>315</v>
      </c>
      <c r="G12" s="118" t="s">
        <v>309</v>
      </c>
      <c r="H12" s="3">
        <f t="shared" si="1"/>
        <v>361.84</v>
      </c>
      <c r="I12" s="25">
        <f t="shared" si="2"/>
        <v>317.86315089999994</v>
      </c>
      <c r="K12" s="143">
        <f>25.79*1.19*0.97</f>
        <v>29.769396999999998</v>
      </c>
      <c r="L12" s="145">
        <v>0.07</v>
      </c>
      <c r="M12" s="120">
        <v>3</v>
      </c>
      <c r="N12" s="3">
        <f t="shared" si="3"/>
        <v>317.86315089999994</v>
      </c>
      <c r="P12" s="3"/>
    </row>
    <row r="13" spans="2:14" ht="12">
      <c r="B13" t="s">
        <v>65</v>
      </c>
      <c r="C13" s="142">
        <v>10.523</v>
      </c>
      <c r="D13" s="140">
        <f t="shared" si="0"/>
        <v>11.3</v>
      </c>
      <c r="E13" s="118" t="s">
        <v>83</v>
      </c>
      <c r="F13" s="118" t="s">
        <v>315</v>
      </c>
      <c r="G13" s="118" t="s">
        <v>309</v>
      </c>
      <c r="H13" s="3">
        <f t="shared" si="1"/>
        <v>420.91999999999996</v>
      </c>
      <c r="I13" s="25">
        <f t="shared" si="2"/>
        <v>370.2941861</v>
      </c>
      <c r="K13" s="143">
        <f>25.79*1.19*0.97</f>
        <v>29.769396999999998</v>
      </c>
      <c r="L13" s="145">
        <v>0.07</v>
      </c>
      <c r="M13" s="120">
        <v>3</v>
      </c>
      <c r="N13" s="3">
        <f t="shared" si="3"/>
        <v>370.2941861</v>
      </c>
    </row>
    <row r="14" spans="1:14" s="15" customFormat="1" ht="12">
      <c r="A14" s="15" t="s">
        <v>67</v>
      </c>
      <c r="C14" s="16"/>
      <c r="D14" s="139"/>
      <c r="E14" s="141"/>
      <c r="F14" s="141"/>
      <c r="G14" s="141"/>
      <c r="H14" s="3"/>
      <c r="I14" s="25"/>
      <c r="K14" s="146"/>
      <c r="L14" s="147"/>
      <c r="M14" s="148"/>
      <c r="N14" s="3"/>
    </row>
    <row r="15" spans="2:14" ht="12">
      <c r="B15" t="s">
        <v>179</v>
      </c>
      <c r="C15" s="142">
        <v>10.697</v>
      </c>
      <c r="D15" s="140">
        <f t="shared" si="0"/>
        <v>11.4</v>
      </c>
      <c r="E15" s="118" t="s">
        <v>84</v>
      </c>
      <c r="F15" s="118" t="s">
        <v>314</v>
      </c>
      <c r="G15" s="118" t="s">
        <v>306</v>
      </c>
      <c r="H15" s="3">
        <f>C15*(IF(E15="Parkett",$C$35,IF(E15="Fliesen 1",$C$37,IF(E15="Laminat",$C$36,$C$38))))</f>
        <v>160.45499999999998</v>
      </c>
      <c r="I15" s="25">
        <f t="shared" si="2"/>
        <v>107.89051199999999</v>
      </c>
      <c r="K15" s="143">
        <f>5.6*1.19*0.97</f>
        <v>6.464079999999999</v>
      </c>
      <c r="L15" s="145">
        <v>0.07</v>
      </c>
      <c r="M15" s="120">
        <v>3</v>
      </c>
      <c r="N15" s="3">
        <f t="shared" si="3"/>
        <v>107.89051199999999</v>
      </c>
    </row>
    <row r="16" spans="2:14" ht="12">
      <c r="B16" t="s">
        <v>66</v>
      </c>
      <c r="C16" s="142">
        <v>17.665</v>
      </c>
      <c r="D16" s="140">
        <f t="shared" si="0"/>
        <v>18.9</v>
      </c>
      <c r="E16" s="118" t="s">
        <v>83</v>
      </c>
      <c r="F16" s="118" t="s">
        <v>312</v>
      </c>
      <c r="G16" s="118" t="s">
        <v>310</v>
      </c>
      <c r="H16" s="3">
        <f t="shared" si="1"/>
        <v>706.5999999999999</v>
      </c>
      <c r="I16" s="25">
        <f t="shared" si="2"/>
        <v>937.8936</v>
      </c>
      <c r="K16" s="143">
        <f>44*1.19*0.9</f>
        <v>47.124</v>
      </c>
      <c r="L16" s="145">
        <v>0.07</v>
      </c>
      <c r="M16" s="120">
        <v>2.5</v>
      </c>
      <c r="N16" s="3">
        <f t="shared" si="3"/>
        <v>937.8936</v>
      </c>
    </row>
    <row r="17" spans="2:14" ht="12">
      <c r="B17" t="s">
        <v>69</v>
      </c>
      <c r="C17" s="142">
        <v>3.819</v>
      </c>
      <c r="D17" s="140">
        <f t="shared" si="0"/>
        <v>4.1</v>
      </c>
      <c r="E17" s="118" t="s">
        <v>83</v>
      </c>
      <c r="F17" s="118" t="s">
        <v>312</v>
      </c>
      <c r="G17" s="118" t="s">
        <v>310</v>
      </c>
      <c r="H17" s="3">
        <f t="shared" si="1"/>
        <v>152.76</v>
      </c>
      <c r="I17" s="25">
        <f t="shared" si="2"/>
        <v>203.45839999999998</v>
      </c>
      <c r="K17" s="143">
        <f>44*1.19*0.9</f>
        <v>47.124</v>
      </c>
      <c r="L17" s="145">
        <v>0.07</v>
      </c>
      <c r="M17" s="120">
        <v>2.5</v>
      </c>
      <c r="N17" s="3">
        <f t="shared" si="3"/>
        <v>203.45839999999998</v>
      </c>
    </row>
    <row r="18" spans="2:14" ht="12">
      <c r="B18" t="s">
        <v>70</v>
      </c>
      <c r="C18" s="142">
        <v>7.548</v>
      </c>
      <c r="D18" s="140">
        <f t="shared" si="0"/>
        <v>8.1</v>
      </c>
      <c r="E18" s="118" t="s">
        <v>84</v>
      </c>
      <c r="F18" s="118" t="s">
        <v>312</v>
      </c>
      <c r="G18" s="118" t="s">
        <v>310</v>
      </c>
      <c r="H18" s="3">
        <f t="shared" si="1"/>
        <v>113.22</v>
      </c>
      <c r="I18" s="25">
        <f t="shared" si="2"/>
        <v>401.9544</v>
      </c>
      <c r="K18" s="143">
        <f>44*1.19*0.9</f>
        <v>47.124</v>
      </c>
      <c r="L18" s="145">
        <v>0.07</v>
      </c>
      <c r="M18" s="120">
        <v>2.5</v>
      </c>
      <c r="N18" s="3">
        <f t="shared" si="3"/>
        <v>401.9544</v>
      </c>
    </row>
    <row r="19" spans="2:14" s="77" customFormat="1" ht="12">
      <c r="B19" s="77" t="s">
        <v>71</v>
      </c>
      <c r="C19" s="122">
        <v>88.7</v>
      </c>
      <c r="D19" s="134">
        <f t="shared" si="0"/>
        <v>94</v>
      </c>
      <c r="E19" s="110" t="s">
        <v>57</v>
      </c>
      <c r="F19" s="144" t="s">
        <v>313</v>
      </c>
      <c r="G19" s="110" t="s">
        <v>309</v>
      </c>
      <c r="H19" s="94">
        <f t="shared" si="1"/>
        <v>3991.5</v>
      </c>
      <c r="I19" s="95">
        <f t="shared" si="2"/>
        <v>6219.637558</v>
      </c>
      <c r="K19" s="137">
        <f>52.99*1.19*0.97</f>
        <v>61.166357</v>
      </c>
      <c r="L19" s="123">
        <v>0.06</v>
      </c>
      <c r="M19" s="138">
        <v>5</v>
      </c>
      <c r="N19" s="94">
        <f t="shared" si="3"/>
        <v>6219.637558</v>
      </c>
    </row>
    <row r="20" spans="2:14" s="77" customFormat="1" ht="12">
      <c r="B20" s="77" t="s">
        <v>72</v>
      </c>
      <c r="C20" s="122">
        <v>33.925</v>
      </c>
      <c r="D20" s="134">
        <f t="shared" si="0"/>
        <v>36</v>
      </c>
      <c r="E20" s="110" t="s">
        <v>57</v>
      </c>
      <c r="F20" s="144" t="s">
        <v>313</v>
      </c>
      <c r="G20" s="110" t="s">
        <v>309</v>
      </c>
      <c r="H20" s="94">
        <f t="shared" si="1"/>
        <v>1526.6249999999998</v>
      </c>
      <c r="I20" s="95">
        <f t="shared" si="2"/>
        <v>2381.9888520000004</v>
      </c>
      <c r="K20" s="137">
        <f>52.99*1.19*0.97</f>
        <v>61.166357</v>
      </c>
      <c r="L20" s="123">
        <v>0.06</v>
      </c>
      <c r="M20" s="138">
        <v>5</v>
      </c>
      <c r="N20" s="94">
        <f t="shared" si="3"/>
        <v>2381.9888520000004</v>
      </c>
    </row>
    <row r="21" spans="1:14" s="15" customFormat="1" ht="12">
      <c r="A21" s="15" t="s">
        <v>82</v>
      </c>
      <c r="C21" s="16"/>
      <c r="D21" s="139"/>
      <c r="E21" s="141"/>
      <c r="F21" s="141"/>
      <c r="G21" s="141"/>
      <c r="H21" s="3"/>
      <c r="I21" s="25"/>
      <c r="K21" s="146"/>
      <c r="L21" s="147"/>
      <c r="M21" s="148"/>
      <c r="N21" s="3"/>
    </row>
    <row r="22" spans="2:14" ht="12">
      <c r="B22" t="s">
        <v>73</v>
      </c>
      <c r="C22" s="142">
        <v>11</v>
      </c>
      <c r="D22" s="134">
        <f t="shared" si="0"/>
        <v>13.2</v>
      </c>
      <c r="E22" s="118" t="s">
        <v>83</v>
      </c>
      <c r="F22" s="118" t="s">
        <v>314</v>
      </c>
      <c r="G22" s="118" t="s">
        <v>309</v>
      </c>
      <c r="H22" s="3">
        <f t="shared" si="1"/>
        <v>440</v>
      </c>
      <c r="I22" s="25">
        <f t="shared" si="2"/>
        <v>275.87999999999994</v>
      </c>
      <c r="K22" s="143">
        <v>16.9</v>
      </c>
      <c r="L22" s="145">
        <v>0.2</v>
      </c>
      <c r="M22" s="120">
        <v>4</v>
      </c>
      <c r="N22" s="94">
        <f t="shared" si="3"/>
        <v>275.87999999999994</v>
      </c>
    </row>
    <row r="23" spans="2:14" ht="12">
      <c r="B23" t="s">
        <v>74</v>
      </c>
      <c r="C23" s="142">
        <v>21.086</v>
      </c>
      <c r="D23" s="134">
        <f t="shared" si="0"/>
        <v>22.6</v>
      </c>
      <c r="E23" s="118" t="s">
        <v>83</v>
      </c>
      <c r="F23" s="118" t="s">
        <v>314</v>
      </c>
      <c r="G23" s="118" t="s">
        <v>309</v>
      </c>
      <c r="H23" s="3">
        <f t="shared" si="1"/>
        <v>843.4399999999999</v>
      </c>
      <c r="I23" s="25">
        <f t="shared" si="2"/>
        <v>449.74</v>
      </c>
      <c r="K23" s="143">
        <v>16.9</v>
      </c>
      <c r="L23" s="145">
        <v>0.07</v>
      </c>
      <c r="M23" s="120">
        <v>3</v>
      </c>
      <c r="N23" s="94">
        <f t="shared" si="3"/>
        <v>449.74</v>
      </c>
    </row>
    <row r="24" spans="2:14" ht="12">
      <c r="B24" t="s">
        <v>75</v>
      </c>
      <c r="C24" s="142">
        <v>11.658</v>
      </c>
      <c r="D24" s="134">
        <f t="shared" si="0"/>
        <v>12.4</v>
      </c>
      <c r="E24" s="118" t="s">
        <v>84</v>
      </c>
      <c r="F24" s="118" t="s">
        <v>314</v>
      </c>
      <c r="G24" s="118" t="s">
        <v>309</v>
      </c>
      <c r="H24" s="3">
        <f t="shared" si="1"/>
        <v>174.87</v>
      </c>
      <c r="I24" s="25">
        <f t="shared" si="2"/>
        <v>111.154592</v>
      </c>
      <c r="K24" s="143">
        <f aca="true" t="shared" si="4" ref="K24:K29">5.6*1.19*0.97</f>
        <v>6.464079999999999</v>
      </c>
      <c r="L24" s="145">
        <v>0.06</v>
      </c>
      <c r="M24" s="120">
        <v>2.5</v>
      </c>
      <c r="N24" s="94">
        <f t="shared" si="3"/>
        <v>111.154592</v>
      </c>
    </row>
    <row r="25" spans="2:14" ht="12">
      <c r="B25" t="s">
        <v>76</v>
      </c>
      <c r="C25" s="142">
        <v>7.21</v>
      </c>
      <c r="D25" s="134">
        <f t="shared" si="0"/>
        <v>7.6</v>
      </c>
      <c r="E25" s="118" t="s">
        <v>84</v>
      </c>
      <c r="F25" s="118" t="s">
        <v>314</v>
      </c>
      <c r="G25" s="118" t="s">
        <v>309</v>
      </c>
      <c r="H25" s="3">
        <f t="shared" si="1"/>
        <v>108.15</v>
      </c>
      <c r="I25" s="25">
        <f t="shared" si="2"/>
        <v>68.12700799999999</v>
      </c>
      <c r="K25" s="143">
        <f t="shared" si="4"/>
        <v>6.464079999999999</v>
      </c>
      <c r="L25" s="145">
        <v>0.06</v>
      </c>
      <c r="M25" s="120">
        <v>2.5</v>
      </c>
      <c r="N25" s="94">
        <f t="shared" si="3"/>
        <v>68.12700799999999</v>
      </c>
    </row>
    <row r="26" spans="2:14" ht="12">
      <c r="B26" t="s">
        <v>77</v>
      </c>
      <c r="C26" s="142">
        <v>13.785</v>
      </c>
      <c r="D26" s="134">
        <f t="shared" si="0"/>
        <v>14.6</v>
      </c>
      <c r="E26" s="118" t="s">
        <v>84</v>
      </c>
      <c r="F26" s="118" t="s">
        <v>314</v>
      </c>
      <c r="G26" s="118" t="s">
        <v>309</v>
      </c>
      <c r="H26" s="3">
        <f t="shared" si="1"/>
        <v>206.775</v>
      </c>
      <c r="I26" s="25">
        <f t="shared" si="2"/>
        <v>130.875568</v>
      </c>
      <c r="K26" s="143">
        <f t="shared" si="4"/>
        <v>6.464079999999999</v>
      </c>
      <c r="L26" s="145">
        <v>0.06</v>
      </c>
      <c r="M26" s="120">
        <v>2.5</v>
      </c>
      <c r="N26" s="94">
        <f t="shared" si="3"/>
        <v>130.875568</v>
      </c>
    </row>
    <row r="27" spans="2:14" ht="12">
      <c r="B27" t="s">
        <v>78</v>
      </c>
      <c r="C27" s="142">
        <v>8.126</v>
      </c>
      <c r="D27" s="134">
        <f t="shared" si="0"/>
        <v>8.6</v>
      </c>
      <c r="E27" s="118" t="s">
        <v>84</v>
      </c>
      <c r="F27" s="118" t="s">
        <v>314</v>
      </c>
      <c r="G27" s="118" t="s">
        <v>309</v>
      </c>
      <c r="H27" s="3">
        <f t="shared" si="1"/>
        <v>121.88999999999999</v>
      </c>
      <c r="I27" s="25">
        <f t="shared" si="2"/>
        <v>77.09108799999998</v>
      </c>
      <c r="K27" s="143">
        <f t="shared" si="4"/>
        <v>6.464079999999999</v>
      </c>
      <c r="L27" s="145">
        <v>0.06</v>
      </c>
      <c r="M27" s="120">
        <v>2.5</v>
      </c>
      <c r="N27" s="94">
        <f t="shared" si="3"/>
        <v>77.09108799999998</v>
      </c>
    </row>
    <row r="28" spans="2:14" ht="12">
      <c r="B28" t="s">
        <v>79</v>
      </c>
      <c r="C28" s="142">
        <v>9.785</v>
      </c>
      <c r="D28" s="134">
        <f t="shared" si="0"/>
        <v>10.4</v>
      </c>
      <c r="E28" s="118" t="s">
        <v>84</v>
      </c>
      <c r="F28" s="118" t="s">
        <v>314</v>
      </c>
      <c r="G28" s="118" t="s">
        <v>309</v>
      </c>
      <c r="H28" s="3">
        <f t="shared" si="1"/>
        <v>146.775</v>
      </c>
      <c r="I28" s="25">
        <f t="shared" si="2"/>
        <v>93.22643199999999</v>
      </c>
      <c r="K28" s="143">
        <f t="shared" si="4"/>
        <v>6.464079999999999</v>
      </c>
      <c r="L28" s="145">
        <v>0.06</v>
      </c>
      <c r="M28" s="120">
        <v>2.5</v>
      </c>
      <c r="N28" s="94">
        <f t="shared" si="3"/>
        <v>93.22643199999999</v>
      </c>
    </row>
    <row r="29" spans="2:14" ht="12">
      <c r="B29" t="s">
        <v>245</v>
      </c>
      <c r="C29" s="142">
        <v>3.656</v>
      </c>
      <c r="D29" s="134">
        <f t="shared" si="0"/>
        <v>4</v>
      </c>
      <c r="E29" s="118" t="s">
        <v>84</v>
      </c>
      <c r="F29" s="118" t="s">
        <v>314</v>
      </c>
      <c r="G29" s="118" t="s">
        <v>309</v>
      </c>
      <c r="H29" s="3">
        <f>C29*(IF(E29="Parkett",$C$35,IF(E29="Fliesen 1",$C$37,IF(E29="Laminat",$C$36,$C$38))))</f>
        <v>54.84</v>
      </c>
      <c r="I29" s="25">
        <f t="shared" si="2"/>
        <v>35.85632</v>
      </c>
      <c r="K29" s="143">
        <f t="shared" si="4"/>
        <v>6.464079999999999</v>
      </c>
      <c r="L29" s="145">
        <v>0.1</v>
      </c>
      <c r="M29" s="120">
        <v>2.5</v>
      </c>
      <c r="N29" s="94">
        <f t="shared" si="3"/>
        <v>35.85632</v>
      </c>
    </row>
    <row r="30" spans="2:14" ht="12">
      <c r="B30" t="s">
        <v>244</v>
      </c>
      <c r="C30" s="142">
        <v>2.7</v>
      </c>
      <c r="D30" s="134">
        <f t="shared" si="0"/>
        <v>3</v>
      </c>
      <c r="E30" s="118" t="s">
        <v>83</v>
      </c>
      <c r="F30" s="118" t="s">
        <v>312</v>
      </c>
      <c r="G30" s="118" t="s">
        <v>306</v>
      </c>
      <c r="H30" s="3">
        <f>C30*(IF(E30="Parkett",$C$35,IF(E30="Fliesen 1",$C$37,IF(E30="Laminat",$C$36,$C$38))))</f>
        <v>108</v>
      </c>
      <c r="I30" s="25">
        <f t="shared" si="2"/>
        <v>60.9435</v>
      </c>
      <c r="K30" s="143">
        <f>15*1.19*0.97</f>
        <v>17.3145</v>
      </c>
      <c r="L30" s="145">
        <v>0.12</v>
      </c>
      <c r="M30" s="120">
        <v>3</v>
      </c>
      <c r="N30" s="94">
        <f t="shared" si="3"/>
        <v>60.9435</v>
      </c>
    </row>
    <row r="31" spans="2:14" s="77" customFormat="1" ht="12">
      <c r="B31" s="77" t="s">
        <v>80</v>
      </c>
      <c r="C31" s="122">
        <v>47.979</v>
      </c>
      <c r="D31" s="134">
        <f t="shared" si="0"/>
        <v>51.8</v>
      </c>
      <c r="E31" s="110" t="s">
        <v>100</v>
      </c>
      <c r="F31" s="144" t="s">
        <v>316</v>
      </c>
      <c r="G31" s="110" t="s">
        <v>311</v>
      </c>
      <c r="H31" s="94">
        <f t="shared" si="1"/>
        <v>527.769</v>
      </c>
      <c r="I31" s="95">
        <f t="shared" si="2"/>
        <v>774.41</v>
      </c>
      <c r="K31" s="137">
        <v>13.95</v>
      </c>
      <c r="L31" s="123">
        <v>0.08</v>
      </c>
      <c r="M31" s="138">
        <v>1</v>
      </c>
      <c r="N31" s="94">
        <f t="shared" si="3"/>
        <v>774.41</v>
      </c>
    </row>
    <row r="32" spans="2:14" s="77" customFormat="1" ht="12">
      <c r="B32" s="77" t="s">
        <v>81</v>
      </c>
      <c r="C32" s="122">
        <v>22.061</v>
      </c>
      <c r="D32" s="134">
        <f t="shared" si="0"/>
        <v>23.8</v>
      </c>
      <c r="E32" s="110" t="s">
        <v>100</v>
      </c>
      <c r="F32" s="144" t="s">
        <v>316</v>
      </c>
      <c r="G32" s="110" t="s">
        <v>311</v>
      </c>
      <c r="H32" s="94">
        <f t="shared" si="1"/>
        <v>242.671</v>
      </c>
      <c r="I32" s="95">
        <f t="shared" si="2"/>
        <v>355.81</v>
      </c>
      <c r="K32" s="137">
        <v>13.95</v>
      </c>
      <c r="L32" s="123">
        <v>0.08</v>
      </c>
      <c r="M32" s="138">
        <v>1</v>
      </c>
      <c r="N32" s="94">
        <f t="shared" si="3"/>
        <v>355.81</v>
      </c>
    </row>
    <row r="33" ht="12">
      <c r="D33" s="140"/>
    </row>
    <row r="34" spans="1:8" s="15" customFormat="1" ht="12">
      <c r="A34" s="15" t="s">
        <v>251</v>
      </c>
      <c r="C34" s="79" t="s">
        <v>199</v>
      </c>
      <c r="D34" s="79" t="s">
        <v>199</v>
      </c>
      <c r="E34" s="33" t="s">
        <v>200</v>
      </c>
      <c r="F34" s="33"/>
      <c r="G34" s="33"/>
      <c r="H34" s="80"/>
    </row>
    <row r="35" spans="2:8" ht="12">
      <c r="B35" t="s">
        <v>57</v>
      </c>
      <c r="C35" s="142">
        <v>45</v>
      </c>
      <c r="D35" s="140">
        <f>C35</f>
        <v>45</v>
      </c>
      <c r="E35" s="142">
        <v>50</v>
      </c>
      <c r="F35" s="14"/>
      <c r="G35" s="14"/>
      <c r="H35" s="14"/>
    </row>
    <row r="36" spans="2:8" ht="12">
      <c r="B36" t="s">
        <v>100</v>
      </c>
      <c r="C36" s="142">
        <v>11</v>
      </c>
      <c r="D36" s="140">
        <f>C36</f>
        <v>11</v>
      </c>
      <c r="E36" s="142">
        <v>35</v>
      </c>
      <c r="F36" s="14"/>
      <c r="G36" s="14"/>
      <c r="H36" s="14"/>
    </row>
    <row r="37" spans="2:8" ht="12">
      <c r="B37" t="s">
        <v>83</v>
      </c>
      <c r="C37" s="142">
        <v>40</v>
      </c>
      <c r="D37" s="140">
        <f>C37</f>
        <v>40</v>
      </c>
      <c r="E37" s="142">
        <v>30</v>
      </c>
      <c r="F37" s="14"/>
      <c r="G37" s="14"/>
      <c r="H37" s="14"/>
    </row>
    <row r="38" spans="2:8" ht="12">
      <c r="B38" t="s">
        <v>84</v>
      </c>
      <c r="C38" s="142">
        <v>15</v>
      </c>
      <c r="D38" s="140">
        <f>C38</f>
        <v>15</v>
      </c>
      <c r="E38" s="142">
        <v>8.5</v>
      </c>
      <c r="F38" s="14"/>
      <c r="G38" s="14"/>
      <c r="H38" s="14"/>
    </row>
    <row r="39" spans="5:8" ht="12">
      <c r="E39" s="14"/>
      <c r="F39" s="14"/>
      <c r="G39" s="14"/>
      <c r="H39" s="14"/>
    </row>
    <row r="40" spans="8:9" ht="12">
      <c r="H40" s="82" t="s">
        <v>199</v>
      </c>
      <c r="I40" s="83" t="s">
        <v>200</v>
      </c>
    </row>
    <row r="41" spans="2:9" ht="12">
      <c r="B41" t="s">
        <v>85</v>
      </c>
      <c r="H41" s="3">
        <f>SUM(H4:H33)</f>
        <v>15774.675</v>
      </c>
      <c r="I41" s="3">
        <f>SUM(I4:I33)</f>
        <v>19204.850448200003</v>
      </c>
    </row>
    <row r="42" spans="2:9" ht="12">
      <c r="B42" t="s">
        <v>101</v>
      </c>
      <c r="H42" s="3">
        <f>H41*0.06</f>
        <v>946.4804999999999</v>
      </c>
      <c r="I42" s="3"/>
    </row>
    <row r="43" spans="2:9" s="15" customFormat="1" ht="12">
      <c r="B43" s="15" t="s">
        <v>86</v>
      </c>
      <c r="C43" s="16"/>
      <c r="D43" s="16"/>
      <c r="H43" s="17">
        <f>ROUND(H41+H42,-2)</f>
        <v>16700</v>
      </c>
      <c r="I43" s="17">
        <f>I41+I42</f>
        <v>19204.850448200003</v>
      </c>
    </row>
    <row r="44" spans="2:9" ht="12">
      <c r="B44" t="s">
        <v>139</v>
      </c>
      <c r="H44" s="143">
        <v>15700</v>
      </c>
      <c r="I44" s="3"/>
    </row>
  </sheetData>
  <sheetProtection/>
  <mergeCells count="1">
    <mergeCell ref="H1:I1"/>
  </mergeCells>
  <printOptions/>
  <pageMargins left="0.75" right="0.75" top="1" bottom="1" header="0.4921259845" footer="0.4921259845"/>
  <pageSetup fitToHeight="1" fitToWidth="1" horizontalDpi="300" verticalDpi="3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workbookViewId="0" topLeftCell="A1">
      <selection activeCell="G33" sqref="G33"/>
    </sheetView>
  </sheetViews>
  <sheetFormatPr defaultColWidth="11.421875" defaultRowHeight="12.75"/>
  <cols>
    <col min="1" max="1" width="2.28125" style="0" customWidth="1"/>
    <col min="2" max="2" width="14.7109375" style="0" customWidth="1"/>
    <col min="3" max="3" width="12.7109375" style="14" customWidth="1"/>
    <col min="4" max="4" width="12.7109375" style="0" customWidth="1"/>
    <col min="5" max="5" width="9.7109375" style="14" bestFit="1" customWidth="1"/>
    <col min="6" max="6" width="30.8515625" style="70" customWidth="1"/>
    <col min="7" max="7" width="37.00390625" style="70" customWidth="1"/>
    <col min="8" max="8" width="13.421875" style="0" bestFit="1" customWidth="1"/>
    <col min="9" max="9" width="1.7109375" style="0" customWidth="1"/>
    <col min="11" max="11" width="12.00390625" style="0" customWidth="1"/>
    <col min="12" max="12" width="11.7109375" style="0" customWidth="1"/>
  </cols>
  <sheetData>
    <row r="2" spans="1:12" s="15" customFormat="1" ht="24.75" thickBot="1">
      <c r="A2" s="18"/>
      <c r="B2" s="18" t="s">
        <v>87</v>
      </c>
      <c r="C2" s="96" t="s">
        <v>259</v>
      </c>
      <c r="D2" s="98" t="s">
        <v>262</v>
      </c>
      <c r="E2" s="125" t="s">
        <v>260</v>
      </c>
      <c r="F2" s="126" t="s">
        <v>247</v>
      </c>
      <c r="G2" s="126" t="s">
        <v>265</v>
      </c>
      <c r="H2" s="127" t="s">
        <v>127</v>
      </c>
      <c r="J2" s="97" t="s">
        <v>261</v>
      </c>
      <c r="K2" s="55" t="s">
        <v>249</v>
      </c>
      <c r="L2" s="72" t="s">
        <v>250</v>
      </c>
    </row>
    <row r="3" spans="1:8" s="15" customFormat="1" ht="12">
      <c r="A3" s="20"/>
      <c r="B3" s="20"/>
      <c r="C3" s="21"/>
      <c r="E3" s="128"/>
      <c r="F3" s="129"/>
      <c r="G3" s="129"/>
      <c r="H3" s="130"/>
    </row>
    <row r="4" spans="1:10" s="101" customFormat="1" ht="12">
      <c r="A4" s="101" t="s">
        <v>68</v>
      </c>
      <c r="C4" s="102"/>
      <c r="E4" s="131"/>
      <c r="F4" s="132"/>
      <c r="G4" s="132"/>
      <c r="H4" s="133"/>
      <c r="J4" s="103"/>
    </row>
    <row r="5" spans="2:12" s="77" customFormat="1" ht="36">
      <c r="B5" s="77" t="s">
        <v>266</v>
      </c>
      <c r="C5" s="122">
        <f>5*1.2*2.4</f>
        <v>14.399999999999999</v>
      </c>
      <c r="D5" s="123">
        <v>0</v>
      </c>
      <c r="E5" s="134">
        <f>ROUND(C5*(1+D5),1)</f>
        <v>14.4</v>
      </c>
      <c r="F5" s="108" t="s">
        <v>307</v>
      </c>
      <c r="G5" s="108" t="s">
        <v>267</v>
      </c>
      <c r="H5" s="110" t="s">
        <v>304</v>
      </c>
      <c r="J5" s="137">
        <f>61*1.19*0.97</f>
        <v>70.4123</v>
      </c>
      <c r="K5" s="138">
        <v>2</v>
      </c>
      <c r="L5" s="94">
        <f aca="true" t="shared" si="0" ref="L5:L10">E5*(J5+K5)</f>
        <v>1042.73712</v>
      </c>
    </row>
    <row r="6" spans="2:12" s="77" customFormat="1" ht="12">
      <c r="B6" s="77" t="s">
        <v>266</v>
      </c>
      <c r="C6" s="122">
        <f>6*0.05</f>
        <v>0.30000000000000004</v>
      </c>
      <c r="D6" s="123">
        <v>0</v>
      </c>
      <c r="E6" s="134">
        <f>ROUND(C6*(1+D6),1)</f>
        <v>0.3</v>
      </c>
      <c r="F6" s="108" t="s">
        <v>268</v>
      </c>
      <c r="G6" s="108" t="s">
        <v>269</v>
      </c>
      <c r="H6" s="124"/>
      <c r="J6" s="137">
        <f>10/0.01</f>
        <v>1000</v>
      </c>
      <c r="K6" s="138">
        <v>2</v>
      </c>
      <c r="L6" s="94">
        <f t="shared" si="0"/>
        <v>300.59999999999997</v>
      </c>
    </row>
    <row r="7" spans="2:12" s="77" customFormat="1" ht="12">
      <c r="B7" s="77" t="s">
        <v>266</v>
      </c>
      <c r="C7" s="122">
        <v>2</v>
      </c>
      <c r="D7" s="123">
        <v>0.1</v>
      </c>
      <c r="E7" s="134">
        <f>ROUND(C7*(1+D7),1)</f>
        <v>2.2</v>
      </c>
      <c r="F7" s="108" t="s">
        <v>270</v>
      </c>
      <c r="G7" s="108" t="s">
        <v>271</v>
      </c>
      <c r="H7" s="124"/>
      <c r="J7" s="137">
        <v>150</v>
      </c>
      <c r="K7" s="138">
        <v>2</v>
      </c>
      <c r="L7" s="94">
        <f t="shared" si="0"/>
        <v>334.40000000000003</v>
      </c>
    </row>
    <row r="8" spans="2:12" s="77" customFormat="1" ht="24">
      <c r="B8" s="77" t="s">
        <v>65</v>
      </c>
      <c r="C8" s="122">
        <f>2.4*(1.3+1.5)+3</f>
        <v>9.719999999999999</v>
      </c>
      <c r="D8" s="123">
        <v>0.07</v>
      </c>
      <c r="E8" s="134">
        <f aca="true" t="shared" si="1" ref="E8:E18">ROUND(C8*(1+D8),1)</f>
        <v>10.4</v>
      </c>
      <c r="F8" s="108" t="s">
        <v>307</v>
      </c>
      <c r="G8" s="108" t="s">
        <v>273</v>
      </c>
      <c r="H8" s="110" t="s">
        <v>305</v>
      </c>
      <c r="J8" s="137">
        <f>25.5*1.19*0.97</f>
        <v>29.434649999999998</v>
      </c>
      <c r="K8" s="138">
        <v>2</v>
      </c>
      <c r="L8" s="94">
        <f t="shared" si="0"/>
        <v>326.92035999999996</v>
      </c>
    </row>
    <row r="9" spans="2:12" s="77" customFormat="1" ht="12">
      <c r="B9" s="77" t="s">
        <v>65</v>
      </c>
      <c r="C9" s="122">
        <v>2</v>
      </c>
      <c r="D9" s="123">
        <v>0.1</v>
      </c>
      <c r="E9" s="134">
        <f t="shared" si="1"/>
        <v>2.2</v>
      </c>
      <c r="F9" s="108" t="s">
        <v>270</v>
      </c>
      <c r="G9" s="108" t="s">
        <v>270</v>
      </c>
      <c r="H9" s="124"/>
      <c r="J9" s="137">
        <v>150</v>
      </c>
      <c r="K9" s="138">
        <v>2</v>
      </c>
      <c r="L9" s="94">
        <f t="shared" si="0"/>
        <v>334.40000000000003</v>
      </c>
    </row>
    <row r="10" spans="2:12" s="77" customFormat="1" ht="12">
      <c r="B10" s="77" t="s">
        <v>65</v>
      </c>
      <c r="C10" s="122">
        <v>1.8</v>
      </c>
      <c r="D10" s="123">
        <v>0.1</v>
      </c>
      <c r="E10" s="134">
        <f t="shared" si="1"/>
        <v>2</v>
      </c>
      <c r="F10" s="108" t="s">
        <v>307</v>
      </c>
      <c r="G10" s="108" t="s">
        <v>272</v>
      </c>
      <c r="H10" s="110" t="s">
        <v>305</v>
      </c>
      <c r="J10" s="137">
        <f>25.5*1.19*0.97</f>
        <v>29.434649999999998</v>
      </c>
      <c r="K10" s="138">
        <v>2</v>
      </c>
      <c r="L10" s="94">
        <f t="shared" si="0"/>
        <v>62.869299999999996</v>
      </c>
    </row>
    <row r="11" spans="1:12" s="101" customFormat="1" ht="12">
      <c r="A11" s="101" t="s">
        <v>67</v>
      </c>
      <c r="C11" s="102"/>
      <c r="D11" s="104"/>
      <c r="E11" s="134"/>
      <c r="F11" s="135"/>
      <c r="G11" s="135"/>
      <c r="H11" s="133"/>
      <c r="J11" s="103"/>
      <c r="K11" s="105"/>
      <c r="L11" s="94"/>
    </row>
    <row r="12" spans="2:12" s="77" customFormat="1" ht="12">
      <c r="B12" s="77" t="s">
        <v>179</v>
      </c>
      <c r="C12" s="122">
        <v>5</v>
      </c>
      <c r="D12" s="123">
        <v>0</v>
      </c>
      <c r="E12" s="134">
        <f t="shared" si="1"/>
        <v>5</v>
      </c>
      <c r="F12" s="108" t="s">
        <v>307</v>
      </c>
      <c r="G12" s="108" t="s">
        <v>278</v>
      </c>
      <c r="H12" s="110" t="s">
        <v>305</v>
      </c>
      <c r="J12" s="137">
        <f>5.6*1.19*0.97</f>
        <v>6.464079999999999</v>
      </c>
      <c r="K12" s="138">
        <v>2</v>
      </c>
      <c r="L12" s="94">
        <f>E12*(J12+K12)</f>
        <v>42.32039999999999</v>
      </c>
    </row>
    <row r="13" spans="2:12" s="77" customFormat="1" ht="12">
      <c r="B13" s="77" t="s">
        <v>69</v>
      </c>
      <c r="C13" s="122">
        <v>1</v>
      </c>
      <c r="D13" s="123">
        <v>0.1</v>
      </c>
      <c r="E13" s="134">
        <f t="shared" si="1"/>
        <v>1.1</v>
      </c>
      <c r="F13" s="108" t="s">
        <v>270</v>
      </c>
      <c r="G13" s="108" t="s">
        <v>270</v>
      </c>
      <c r="H13" s="124"/>
      <c r="J13" s="137">
        <v>150</v>
      </c>
      <c r="K13" s="138">
        <v>2</v>
      </c>
      <c r="L13" s="94">
        <f>E13*(J13+K13)</f>
        <v>167.20000000000002</v>
      </c>
    </row>
    <row r="14" spans="2:12" s="77" customFormat="1" ht="12">
      <c r="B14" s="77" t="s">
        <v>18</v>
      </c>
      <c r="C14" s="122">
        <v>2</v>
      </c>
      <c r="D14" s="123">
        <v>0.1</v>
      </c>
      <c r="E14" s="134">
        <f t="shared" si="1"/>
        <v>2.2</v>
      </c>
      <c r="F14" s="108" t="s">
        <v>276</v>
      </c>
      <c r="G14" s="108" t="s">
        <v>276</v>
      </c>
      <c r="H14" s="124"/>
      <c r="J14" s="137">
        <v>80</v>
      </c>
      <c r="K14" s="138">
        <v>2</v>
      </c>
      <c r="L14" s="94">
        <f>E14*(J14+K14)</f>
        <v>180.4</v>
      </c>
    </row>
    <row r="15" spans="1:12" s="101" customFormat="1" ht="12">
      <c r="A15" s="101" t="s">
        <v>82</v>
      </c>
      <c r="C15" s="102"/>
      <c r="D15" s="104"/>
      <c r="E15" s="134">
        <f t="shared" si="1"/>
        <v>0</v>
      </c>
      <c r="F15" s="135"/>
      <c r="G15" s="135"/>
      <c r="H15" s="133"/>
      <c r="J15" s="103"/>
      <c r="K15" s="105"/>
      <c r="L15" s="94"/>
    </row>
    <row r="16" spans="2:12" s="77" customFormat="1" ht="12">
      <c r="B16" s="77" t="s">
        <v>75</v>
      </c>
      <c r="C16" s="122">
        <f>1.33*4</f>
        <v>5.32</v>
      </c>
      <c r="D16" s="123">
        <v>0.05</v>
      </c>
      <c r="E16" s="134">
        <f t="shared" si="1"/>
        <v>5.6</v>
      </c>
      <c r="F16" s="108" t="s">
        <v>307</v>
      </c>
      <c r="G16" s="108" t="s">
        <v>275</v>
      </c>
      <c r="H16" s="110" t="s">
        <v>305</v>
      </c>
      <c r="J16" s="137">
        <f>5.6*1.19*0.97</f>
        <v>6.464079999999999</v>
      </c>
      <c r="K16" s="138">
        <v>2</v>
      </c>
      <c r="L16" s="94">
        <f>E16*(J16+K16)</f>
        <v>47.398847999999994</v>
      </c>
    </row>
    <row r="17" spans="2:12" s="77" customFormat="1" ht="12">
      <c r="B17" s="77" t="s">
        <v>78</v>
      </c>
      <c r="C17" s="122">
        <f>(4.78+4.78+2.04+1.2-3.05)*1.67</f>
        <v>16.2825</v>
      </c>
      <c r="D17" s="123">
        <v>0.07</v>
      </c>
      <c r="E17" s="134">
        <f t="shared" si="1"/>
        <v>17.4</v>
      </c>
      <c r="F17" s="108" t="s">
        <v>307</v>
      </c>
      <c r="G17" s="108" t="s">
        <v>277</v>
      </c>
      <c r="H17" s="110" t="s">
        <v>305</v>
      </c>
      <c r="J17" s="137">
        <f>5.6*1.19*0.97</f>
        <v>6.464079999999999</v>
      </c>
      <c r="K17" s="138">
        <v>2</v>
      </c>
      <c r="L17" s="94">
        <f>E17*(J17+K17)</f>
        <v>147.27499199999997</v>
      </c>
    </row>
    <row r="18" spans="2:12" s="77" customFormat="1" ht="12">
      <c r="B18" s="77" t="s">
        <v>244</v>
      </c>
      <c r="C18" s="122">
        <f>2.4*(1.2+1.6+1.6+2.1)-0.6*0.4</f>
        <v>15.36</v>
      </c>
      <c r="D18" s="123">
        <v>0.1</v>
      </c>
      <c r="E18" s="134">
        <f t="shared" si="1"/>
        <v>16.9</v>
      </c>
      <c r="F18" s="108" t="s">
        <v>307</v>
      </c>
      <c r="G18" s="108" t="s">
        <v>274</v>
      </c>
      <c r="H18" s="110" t="s">
        <v>305</v>
      </c>
      <c r="J18" s="137">
        <f>17.5*1.19*0.97</f>
        <v>20.20025</v>
      </c>
      <c r="K18" s="138">
        <v>2</v>
      </c>
      <c r="L18" s="94">
        <f>E18*(J18+K18)</f>
        <v>375.18422499999997</v>
      </c>
    </row>
    <row r="20" spans="6:8" ht="12">
      <c r="F20" s="100"/>
      <c r="G20" s="100"/>
      <c r="H20" s="14"/>
    </row>
    <row r="21" spans="11:12" ht="12">
      <c r="K21" s="82" t="s">
        <v>199</v>
      </c>
      <c r="L21" s="83" t="s">
        <v>200</v>
      </c>
    </row>
    <row r="22" spans="2:12" s="15" customFormat="1" ht="12">
      <c r="B22" s="15" t="s">
        <v>86</v>
      </c>
      <c r="C22" s="16"/>
      <c r="E22" s="16"/>
      <c r="F22" s="72"/>
      <c r="G22" s="72"/>
      <c r="K22" s="136">
        <v>3260</v>
      </c>
      <c r="L22" s="17">
        <f>SUM(L5:L19)</f>
        <v>3361.7052449999996</v>
      </c>
    </row>
  </sheetData>
  <sheetProtection/>
  <printOptions/>
  <pageMargins left="0.75" right="0.75" top="1" bottom="1" header="0.4921259845" footer="0.4921259845"/>
  <pageSetup fitToHeight="1" fitToWidth="1" horizontalDpi="300" verticalDpi="300" orientation="portrait" paperSize="9" scale="50"/>
</worksheet>
</file>

<file path=xl/worksheets/sheet5.xml><?xml version="1.0" encoding="utf-8"?>
<worksheet xmlns="http://schemas.openxmlformats.org/spreadsheetml/2006/main" xmlns:r="http://schemas.openxmlformats.org/officeDocument/2006/relationships">
  <dimension ref="A1:C52"/>
  <sheetViews>
    <sheetView workbookViewId="0" topLeftCell="A1">
      <selection activeCell="C1" sqref="C1"/>
    </sheetView>
  </sheetViews>
  <sheetFormatPr defaultColWidth="11.421875" defaultRowHeight="12.75"/>
  <cols>
    <col min="1" max="1" width="27.140625" style="0" bestFit="1" customWidth="1"/>
    <col min="2" max="2" width="45.7109375" style="0" customWidth="1"/>
    <col min="3" max="3" width="13.28125" style="25" bestFit="1" customWidth="1"/>
    <col min="4" max="4" width="22.7109375" style="0" bestFit="1" customWidth="1"/>
  </cols>
  <sheetData>
    <row r="1" spans="1:3" s="2" customFormat="1" ht="15.75" thickBot="1">
      <c r="A1" s="30" t="s">
        <v>115</v>
      </c>
      <c r="B1" s="30"/>
      <c r="C1" s="29">
        <f>SUM(C7:C63)</f>
        <v>14704.3</v>
      </c>
    </row>
    <row r="2" spans="1:3" s="31" customFormat="1" ht="12.75" thickTop="1">
      <c r="A2" s="31" t="s">
        <v>139</v>
      </c>
      <c r="C2" s="121">
        <f>10600+2*485*1.19</f>
        <v>11754.3</v>
      </c>
    </row>
    <row r="3" s="15" customFormat="1" ht="12">
      <c r="C3" s="26"/>
    </row>
    <row r="4" spans="2:3" s="15" customFormat="1" ht="12">
      <c r="B4" s="15" t="s">
        <v>133</v>
      </c>
      <c r="C4" s="28" t="s">
        <v>134</v>
      </c>
    </row>
    <row r="6" spans="1:2" ht="12">
      <c r="A6" s="15" t="s">
        <v>105</v>
      </c>
      <c r="B6" s="15"/>
    </row>
    <row r="7" spans="1:3" ht="12">
      <c r="A7" s="24" t="s">
        <v>106</v>
      </c>
      <c r="B7" s="118" t="s">
        <v>210</v>
      </c>
      <c r="C7" s="120">
        <v>700</v>
      </c>
    </row>
    <row r="8" spans="1:3" ht="12">
      <c r="A8" s="24" t="s">
        <v>128</v>
      </c>
      <c r="B8" s="119"/>
      <c r="C8" s="120">
        <v>350</v>
      </c>
    </row>
    <row r="9" spans="1:3" ht="12">
      <c r="A9" s="24" t="s">
        <v>135</v>
      </c>
      <c r="B9" s="119"/>
      <c r="C9" s="120">
        <v>1000</v>
      </c>
    </row>
    <row r="10" spans="1:3" ht="12">
      <c r="A10" s="24" t="s">
        <v>136</v>
      </c>
      <c r="B10" s="119"/>
      <c r="C10" s="120">
        <v>200</v>
      </c>
    </row>
    <row r="11" spans="1:3" ht="12">
      <c r="A11" s="24" t="s">
        <v>129</v>
      </c>
      <c r="B11" s="119"/>
      <c r="C11" s="120">
        <v>350</v>
      </c>
    </row>
    <row r="12" spans="1:3" ht="12">
      <c r="A12" s="24" t="s">
        <v>108</v>
      </c>
      <c r="B12" s="119"/>
      <c r="C12" s="120">
        <v>900</v>
      </c>
    </row>
    <row r="13" spans="1:3" ht="12">
      <c r="A13" s="24" t="s">
        <v>131</v>
      </c>
      <c r="B13" s="119"/>
      <c r="C13" s="120">
        <v>600</v>
      </c>
    </row>
    <row r="14" spans="1:3" ht="12">
      <c r="A14" s="24" t="s">
        <v>137</v>
      </c>
      <c r="B14" s="119"/>
      <c r="C14" s="120">
        <v>300</v>
      </c>
    </row>
    <row r="15" spans="1:3" ht="12">
      <c r="A15" s="24" t="s">
        <v>109</v>
      </c>
      <c r="B15" s="119"/>
      <c r="C15" s="120">
        <v>300</v>
      </c>
    </row>
    <row r="16" spans="1:3" ht="12">
      <c r="A16" s="24" t="s">
        <v>110</v>
      </c>
      <c r="B16" s="119"/>
      <c r="C16" s="120">
        <v>100</v>
      </c>
    </row>
    <row r="17" spans="1:3" ht="12">
      <c r="A17" s="24" t="s">
        <v>69</v>
      </c>
      <c r="B17" s="119"/>
      <c r="C17" s="120">
        <v>250</v>
      </c>
    </row>
    <row r="18" spans="1:3" ht="12">
      <c r="A18" s="24" t="s">
        <v>130</v>
      </c>
      <c r="B18" s="119"/>
      <c r="C18" s="120">
        <v>200</v>
      </c>
    </row>
    <row r="19" spans="1:3" ht="12">
      <c r="A19" s="24" t="s">
        <v>191</v>
      </c>
      <c r="B19" s="119"/>
      <c r="C19" s="120">
        <f>485*1.19</f>
        <v>577.15</v>
      </c>
    </row>
    <row r="21" spans="1:2" ht="12">
      <c r="A21" s="15" t="s">
        <v>61</v>
      </c>
      <c r="B21" s="15"/>
    </row>
    <row r="22" spans="1:3" ht="12">
      <c r="A22" s="24" t="s">
        <v>135</v>
      </c>
      <c r="B22" s="119"/>
      <c r="C22" s="120">
        <v>1300</v>
      </c>
    </row>
    <row r="23" spans="1:3" ht="12">
      <c r="A23" s="24" t="s">
        <v>129</v>
      </c>
      <c r="B23" s="119"/>
      <c r="C23" s="120">
        <v>400</v>
      </c>
    </row>
    <row r="24" spans="1:3" ht="12">
      <c r="A24" s="24" t="s">
        <v>136</v>
      </c>
      <c r="B24" s="119"/>
      <c r="C24" s="120">
        <v>250</v>
      </c>
    </row>
    <row r="25" spans="1:3" ht="12">
      <c r="A25" s="24" t="s">
        <v>108</v>
      </c>
      <c r="B25" s="119"/>
      <c r="C25" s="120">
        <v>1200</v>
      </c>
    </row>
    <row r="26" spans="1:3" ht="12">
      <c r="A26" s="24" t="s">
        <v>131</v>
      </c>
      <c r="B26" s="119"/>
      <c r="C26" s="120">
        <v>600</v>
      </c>
    </row>
    <row r="27" spans="1:3" ht="12">
      <c r="A27" s="24" t="s">
        <v>138</v>
      </c>
      <c r="B27" s="119"/>
      <c r="C27" s="120">
        <v>300</v>
      </c>
    </row>
    <row r="28" spans="1:3" ht="12">
      <c r="A28" s="24" t="s">
        <v>109</v>
      </c>
      <c r="B28" s="119"/>
      <c r="C28" s="120" t="s">
        <v>111</v>
      </c>
    </row>
    <row r="29" spans="1:3" ht="12">
      <c r="A29" s="24" t="s">
        <v>110</v>
      </c>
      <c r="B29" s="119"/>
      <c r="C29" s="120">
        <v>200</v>
      </c>
    </row>
    <row r="30" spans="1:3" ht="12">
      <c r="A30" s="24" t="s">
        <v>69</v>
      </c>
      <c r="B30" s="119"/>
      <c r="C30" s="120">
        <v>350</v>
      </c>
    </row>
    <row r="31" spans="1:3" ht="12">
      <c r="A31" s="24" t="s">
        <v>130</v>
      </c>
      <c r="B31" s="119"/>
      <c r="C31" s="120">
        <v>150</v>
      </c>
    </row>
    <row r="32" spans="1:3" ht="12">
      <c r="A32" s="24" t="s">
        <v>191</v>
      </c>
      <c r="B32" s="119"/>
      <c r="C32" s="120">
        <f>485*1.19</f>
        <v>577.15</v>
      </c>
    </row>
    <row r="34" spans="1:2" ht="12">
      <c r="A34" s="15" t="s">
        <v>112</v>
      </c>
      <c r="B34" s="15"/>
    </row>
    <row r="35" spans="1:3" ht="12">
      <c r="A35" s="24" t="s">
        <v>107</v>
      </c>
      <c r="B35" s="119"/>
      <c r="C35" s="120">
        <v>700</v>
      </c>
    </row>
    <row r="36" spans="1:3" ht="12">
      <c r="A36" s="24" t="s">
        <v>129</v>
      </c>
      <c r="B36" s="119"/>
      <c r="C36" s="120">
        <v>150</v>
      </c>
    </row>
    <row r="37" spans="1:3" ht="12">
      <c r="A37" s="24" t="s">
        <v>113</v>
      </c>
      <c r="B37" s="119"/>
      <c r="C37" s="120">
        <v>200</v>
      </c>
    </row>
    <row r="38" spans="1:3" ht="12">
      <c r="A38" s="24" t="s">
        <v>132</v>
      </c>
      <c r="B38" s="119"/>
      <c r="C38" s="120">
        <v>130</v>
      </c>
    </row>
    <row r="39" spans="1:3" ht="12">
      <c r="A39" s="24" t="s">
        <v>137</v>
      </c>
      <c r="B39" s="119"/>
      <c r="C39" s="120">
        <v>70</v>
      </c>
    </row>
    <row r="40" spans="1:3" ht="12">
      <c r="A40" s="24" t="s">
        <v>109</v>
      </c>
      <c r="B40" s="119"/>
      <c r="C40" s="120">
        <v>150</v>
      </c>
    </row>
    <row r="41" spans="1:3" ht="12">
      <c r="A41" s="24" t="s">
        <v>110</v>
      </c>
      <c r="B41" s="119"/>
      <c r="C41" s="120">
        <v>50</v>
      </c>
    </row>
    <row r="42" spans="1:3" ht="12">
      <c r="A42" s="24" t="s">
        <v>69</v>
      </c>
      <c r="B42" s="119"/>
      <c r="C42" s="120">
        <v>200</v>
      </c>
    </row>
    <row r="43" spans="1:3" ht="12">
      <c r="A43" s="24" t="s">
        <v>130</v>
      </c>
      <c r="B43" s="119"/>
      <c r="C43" s="120">
        <v>150</v>
      </c>
    </row>
    <row r="45" spans="1:2" ht="12">
      <c r="A45" s="15" t="s">
        <v>114</v>
      </c>
      <c r="B45" s="15"/>
    </row>
    <row r="46" spans="1:3" ht="12">
      <c r="A46" s="24" t="s">
        <v>113</v>
      </c>
      <c r="B46" s="119"/>
      <c r="C46" s="120">
        <v>600</v>
      </c>
    </row>
    <row r="47" spans="1:3" ht="12">
      <c r="A47" s="24" t="s">
        <v>132</v>
      </c>
      <c r="B47" s="119"/>
      <c r="C47" s="120">
        <v>200</v>
      </c>
    </row>
    <row r="48" spans="1:3" ht="12">
      <c r="A48" s="24" t="s">
        <v>137</v>
      </c>
      <c r="B48" s="119"/>
      <c r="C48" s="120">
        <v>150</v>
      </c>
    </row>
    <row r="49" spans="1:3" ht="12">
      <c r="A49" s="24" t="s">
        <v>109</v>
      </c>
      <c r="B49" s="119"/>
      <c r="C49" s="120">
        <v>150</v>
      </c>
    </row>
    <row r="50" spans="1:3" ht="12">
      <c r="A50" s="24" t="s">
        <v>110</v>
      </c>
      <c r="B50" s="119"/>
      <c r="C50" s="120">
        <v>150</v>
      </c>
    </row>
    <row r="51" spans="1:3" ht="12">
      <c r="A51" s="24" t="s">
        <v>69</v>
      </c>
      <c r="B51" s="119"/>
      <c r="C51" s="120">
        <v>300</v>
      </c>
    </row>
    <row r="52" spans="1:3" ht="12">
      <c r="A52" s="24" t="s">
        <v>130</v>
      </c>
      <c r="B52" s="119"/>
      <c r="C52" s="120">
        <v>200</v>
      </c>
    </row>
  </sheetData>
  <sheetProtection/>
  <printOptions/>
  <pageMargins left="0.75" right="0.75" top="1" bottom="1" header="0.4921259845" footer="0.4921259845"/>
  <pageSetup horizontalDpi="600" verticalDpi="600" orientation="portrait" paperSize="9"/>
  <headerFooter alignWithMargins="0">
    <oddHeader>&amp;C&amp;"Arial,Fett"&amp;14Sanitärobjekte BV Ziemer</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86"/>
  <sheetViews>
    <sheetView workbookViewId="0" topLeftCell="A3">
      <selection activeCell="C2" sqref="C2"/>
    </sheetView>
  </sheetViews>
  <sheetFormatPr defaultColWidth="11.421875" defaultRowHeight="12.75"/>
  <cols>
    <col min="1" max="1" width="1.7109375" style="0" customWidth="1"/>
    <col min="2" max="2" width="35.7109375" style="56" bestFit="1" customWidth="1"/>
    <col min="3" max="3" width="11.7109375" style="47" customWidth="1"/>
    <col min="4" max="4" width="11.7109375" style="52" customWidth="1"/>
    <col min="5" max="5" width="11.7109375" style="60" customWidth="1"/>
    <col min="6" max="6" width="12.421875" style="32" bestFit="1" customWidth="1"/>
    <col min="7" max="7" width="11.421875" style="64" customWidth="1"/>
    <col min="8" max="9" width="11.421875" style="0" customWidth="1"/>
    <col min="10" max="10" width="14.8515625" style="0" bestFit="1" customWidth="1"/>
  </cols>
  <sheetData>
    <row r="1" spans="2:10" s="2" customFormat="1" ht="16.5" thickBot="1">
      <c r="B1" s="53" t="s">
        <v>115</v>
      </c>
      <c r="C1" s="45"/>
      <c r="D1" s="46">
        <f>SUM(D10:D88)</f>
        <v>33510.141245</v>
      </c>
      <c r="E1" s="69">
        <f>SUM(E10:E2014)/8*24</f>
        <v>168.37499999999997</v>
      </c>
      <c r="F1" s="68" t="s">
        <v>187</v>
      </c>
      <c r="G1" s="61"/>
      <c r="J1" s="15" t="s">
        <v>231</v>
      </c>
    </row>
    <row r="2" spans="2:10" s="31" customFormat="1" ht="13.5" thickTop="1">
      <c r="B2" s="54" t="s">
        <v>139</v>
      </c>
      <c r="C2" s="47">
        <f>SUM(C10:C88)</f>
        <v>20478.6</v>
      </c>
      <c r="D2" s="48"/>
      <c r="E2" s="57"/>
      <c r="G2" s="62"/>
      <c r="J2" s="15"/>
    </row>
    <row r="3" spans="2:7" s="15" customFormat="1" ht="12.75">
      <c r="B3" s="55"/>
      <c r="C3" s="49"/>
      <c r="D3" s="50"/>
      <c r="E3" s="58"/>
      <c r="F3" s="33"/>
      <c r="G3" s="63"/>
    </row>
    <row r="4" spans="2:7" s="15" customFormat="1" ht="12.75">
      <c r="B4" s="117" t="s">
        <v>292</v>
      </c>
      <c r="C4" s="57">
        <f>SUM(G10:G2010)</f>
        <v>1.0833333333333335</v>
      </c>
      <c r="D4" s="65" t="s">
        <v>188</v>
      </c>
      <c r="E4" s="66">
        <f>C4/8*24</f>
        <v>3.2500000000000004</v>
      </c>
      <c r="F4" s="67" t="s">
        <v>187</v>
      </c>
      <c r="G4" s="63"/>
    </row>
    <row r="5" spans="2:7" s="15" customFormat="1" ht="12.75">
      <c r="B5" s="117" t="s">
        <v>293</v>
      </c>
      <c r="C5" s="57">
        <f>SUM(H10:H2010)</f>
        <v>0.8333333333333334</v>
      </c>
      <c r="D5" s="65" t="s">
        <v>188</v>
      </c>
      <c r="E5" s="66">
        <f>C5/8*24</f>
        <v>2.5</v>
      </c>
      <c r="F5" s="67" t="s">
        <v>187</v>
      </c>
      <c r="G5" s="63"/>
    </row>
    <row r="6" spans="2:7" s="15" customFormat="1" ht="12.75">
      <c r="B6" s="117" t="s">
        <v>294</v>
      </c>
      <c r="C6" s="57">
        <f>SUM(I10:I2010)</f>
        <v>3.75</v>
      </c>
      <c r="D6" s="65" t="s">
        <v>188</v>
      </c>
      <c r="E6" s="66">
        <f>C6/8*24</f>
        <v>11.25</v>
      </c>
      <c r="F6" s="67" t="s">
        <v>187</v>
      </c>
      <c r="G6" s="63"/>
    </row>
    <row r="7" ht="12.75">
      <c r="J7" s="15"/>
    </row>
    <row r="8" spans="2:9" s="15" customFormat="1" ht="36">
      <c r="B8" s="55" t="s">
        <v>140</v>
      </c>
      <c r="C8" s="51" t="s">
        <v>143</v>
      </c>
      <c r="D8" s="51" t="s">
        <v>155</v>
      </c>
      <c r="E8" s="59" t="s">
        <v>156</v>
      </c>
      <c r="F8" s="33" t="s">
        <v>157</v>
      </c>
      <c r="G8" s="115" t="s">
        <v>292</v>
      </c>
      <c r="H8" s="116" t="s">
        <v>293</v>
      </c>
      <c r="I8" s="116" t="s">
        <v>294</v>
      </c>
    </row>
    <row r="9" spans="2:7" s="15" customFormat="1" ht="12.75">
      <c r="B9" s="55"/>
      <c r="C9" s="49"/>
      <c r="D9" s="50"/>
      <c r="E9" s="58"/>
      <c r="F9" s="33"/>
      <c r="G9" s="63"/>
    </row>
    <row r="10" spans="1:10" ht="12.75">
      <c r="A10" s="15" t="s">
        <v>141</v>
      </c>
      <c r="J10" s="15"/>
    </row>
    <row r="11" spans="2:10" ht="12.75">
      <c r="B11" s="56" t="s">
        <v>99</v>
      </c>
      <c r="C11" s="111">
        <v>300</v>
      </c>
      <c r="D11" s="112">
        <v>200</v>
      </c>
      <c r="E11" s="113">
        <v>0.5</v>
      </c>
      <c r="F11" s="114" t="s">
        <v>292</v>
      </c>
      <c r="G11" s="64">
        <f aca="true" t="shared" si="0" ref="G11:G85">IF(F11=$B$4,E11,0)</f>
        <v>0.5</v>
      </c>
      <c r="H11" s="64">
        <f aca="true" t="shared" si="1" ref="H11:H85">IF(F11=$B$5,E11,0)</f>
        <v>0</v>
      </c>
      <c r="I11" s="64">
        <f aca="true" t="shared" si="2" ref="I11:I85">IF(F11=$B$6,E11,0)</f>
        <v>0</v>
      </c>
      <c r="J11" s="116" t="s">
        <v>304</v>
      </c>
    </row>
    <row r="12" spans="2:10" ht="12.75">
      <c r="B12" s="56" t="s">
        <v>284</v>
      </c>
      <c r="C12" s="111">
        <v>0</v>
      </c>
      <c r="D12" s="112">
        <v>80</v>
      </c>
      <c r="E12" s="113">
        <v>0.5833333333333334</v>
      </c>
      <c r="F12" s="114" t="s">
        <v>292</v>
      </c>
      <c r="G12" s="64">
        <f t="shared" si="0"/>
        <v>0.5833333333333334</v>
      </c>
      <c r="H12" s="64">
        <f t="shared" si="1"/>
        <v>0</v>
      </c>
      <c r="I12" s="64">
        <f t="shared" si="2"/>
        <v>0</v>
      </c>
      <c r="J12" s="116" t="s">
        <v>306</v>
      </c>
    </row>
    <row r="13" spans="2:10" ht="25.5">
      <c r="B13" s="56" t="s">
        <v>283</v>
      </c>
      <c r="C13" s="111">
        <v>0</v>
      </c>
      <c r="D13" s="112">
        <f>47*3+13*4+6*22</f>
        <v>325</v>
      </c>
      <c r="E13" s="113">
        <v>0.8333333333333334</v>
      </c>
      <c r="F13" s="114" t="s">
        <v>293</v>
      </c>
      <c r="G13" s="64">
        <f>IF(F13=$B$4,E13,0)</f>
        <v>0</v>
      </c>
      <c r="H13" s="64">
        <f>IF(F13=$B$5,E13,0)</f>
        <v>0.8333333333333334</v>
      </c>
      <c r="I13" s="64">
        <f>IF(F13=$B$6,E13,0)</f>
        <v>0</v>
      </c>
      <c r="J13" s="116"/>
    </row>
    <row r="14" spans="2:10" ht="25.5">
      <c r="B14" s="56" t="s">
        <v>158</v>
      </c>
      <c r="C14" s="111">
        <v>1028</v>
      </c>
      <c r="D14" s="112">
        <f>122*4.85*1.19</f>
        <v>704.1229999999999</v>
      </c>
      <c r="E14" s="113">
        <v>3.75</v>
      </c>
      <c r="F14" s="114" t="s">
        <v>294</v>
      </c>
      <c r="G14" s="64">
        <f t="shared" si="0"/>
        <v>0</v>
      </c>
      <c r="H14" s="64">
        <f t="shared" si="1"/>
        <v>0</v>
      </c>
      <c r="I14" s="64">
        <f t="shared" si="2"/>
        <v>3.75</v>
      </c>
      <c r="J14" s="116"/>
    </row>
    <row r="15" spans="2:10" ht="12.75">
      <c r="B15" s="56" t="s">
        <v>121</v>
      </c>
      <c r="C15" s="111">
        <v>240</v>
      </c>
      <c r="D15" s="112" t="s">
        <v>263</v>
      </c>
      <c r="E15" s="113">
        <v>1.25</v>
      </c>
      <c r="F15" s="114"/>
      <c r="G15" s="64">
        <f t="shared" si="0"/>
        <v>0</v>
      </c>
      <c r="H15" s="64">
        <f t="shared" si="1"/>
        <v>0</v>
      </c>
      <c r="I15" s="64">
        <f t="shared" si="2"/>
        <v>0</v>
      </c>
      <c r="J15" s="116"/>
    </row>
    <row r="16" spans="2:10" ht="12.75">
      <c r="B16" s="56" t="s">
        <v>169</v>
      </c>
      <c r="C16" s="111">
        <v>0</v>
      </c>
      <c r="D16" s="112">
        <v>0</v>
      </c>
      <c r="E16" s="113">
        <v>3.3333333333333335</v>
      </c>
      <c r="F16" s="114"/>
      <c r="G16" s="64">
        <f t="shared" si="0"/>
        <v>0</v>
      </c>
      <c r="H16" s="64">
        <f t="shared" si="1"/>
        <v>0</v>
      </c>
      <c r="I16" s="64">
        <f t="shared" si="2"/>
        <v>0</v>
      </c>
      <c r="J16" s="116"/>
    </row>
    <row r="17" spans="2:10" ht="12.75">
      <c r="B17" s="56" t="s">
        <v>252</v>
      </c>
      <c r="C17" s="111">
        <v>0</v>
      </c>
      <c r="D17" s="112">
        <v>2000</v>
      </c>
      <c r="E17" s="113">
        <v>0.8333333333333334</v>
      </c>
      <c r="F17" s="114"/>
      <c r="G17" s="64">
        <f t="shared" si="0"/>
        <v>0</v>
      </c>
      <c r="H17" s="64">
        <f t="shared" si="1"/>
        <v>0</v>
      </c>
      <c r="I17" s="64">
        <f t="shared" si="2"/>
        <v>0</v>
      </c>
      <c r="J17" s="116"/>
    </row>
    <row r="18" spans="2:10" ht="25.5">
      <c r="B18" s="56" t="s">
        <v>253</v>
      </c>
      <c r="C18" s="111">
        <v>0</v>
      </c>
      <c r="D18" s="112">
        <v>600</v>
      </c>
      <c r="E18" s="113">
        <v>1.25</v>
      </c>
      <c r="F18" s="114"/>
      <c r="G18" s="64">
        <f>IF(F18=$B$4,E18,0)</f>
        <v>0</v>
      </c>
      <c r="H18" s="64">
        <f>IF(F18=$B$5,E18,0)</f>
        <v>0</v>
      </c>
      <c r="I18" s="64">
        <f>IF(F18=$B$6,E18,0)</f>
        <v>0</v>
      </c>
      <c r="J18" s="116"/>
    </row>
    <row r="19" spans="8:10" ht="12.75">
      <c r="H19" s="64"/>
      <c r="I19" s="64"/>
      <c r="J19" s="15"/>
    </row>
    <row r="20" spans="1:9" s="15" customFormat="1" ht="12.75">
      <c r="A20" s="15" t="s">
        <v>151</v>
      </c>
      <c r="B20" s="55"/>
      <c r="C20" s="49"/>
      <c r="D20" s="50"/>
      <c r="E20" s="58"/>
      <c r="F20" s="33"/>
      <c r="G20" s="64"/>
      <c r="H20" s="64"/>
      <c r="I20" s="64"/>
    </row>
    <row r="21" spans="2:10" ht="12.75">
      <c r="B21" s="56" t="s">
        <v>159</v>
      </c>
      <c r="C21" s="111">
        <v>1665</v>
      </c>
      <c r="D21" s="112" t="s">
        <v>263</v>
      </c>
      <c r="E21" s="113">
        <v>0.8333333333333334</v>
      </c>
      <c r="F21" s="114"/>
      <c r="G21" s="64">
        <f t="shared" si="0"/>
        <v>0</v>
      </c>
      <c r="H21" s="64">
        <f t="shared" si="1"/>
        <v>0</v>
      </c>
      <c r="I21" s="64">
        <f t="shared" si="2"/>
        <v>0</v>
      </c>
      <c r="J21" s="116"/>
    </row>
    <row r="22" spans="2:10" ht="25.5">
      <c r="B22" s="56" t="s">
        <v>184</v>
      </c>
      <c r="C22" s="111">
        <v>0</v>
      </c>
      <c r="D22" s="112">
        <v>200</v>
      </c>
      <c r="E22" s="113">
        <v>0.25</v>
      </c>
      <c r="F22" s="114"/>
      <c r="G22" s="64">
        <f t="shared" si="0"/>
        <v>0</v>
      </c>
      <c r="H22" s="64">
        <f t="shared" si="1"/>
        <v>0</v>
      </c>
      <c r="I22" s="64">
        <f t="shared" si="2"/>
        <v>0</v>
      </c>
      <c r="J22" s="116"/>
    </row>
    <row r="23" spans="2:10" ht="12.75">
      <c r="B23" s="56" t="s">
        <v>160</v>
      </c>
      <c r="C23" s="111">
        <v>0</v>
      </c>
      <c r="D23" s="112" t="s">
        <v>263</v>
      </c>
      <c r="E23" s="113">
        <v>1.25</v>
      </c>
      <c r="F23" s="114"/>
      <c r="G23" s="64">
        <f t="shared" si="0"/>
        <v>0</v>
      </c>
      <c r="H23" s="64">
        <f t="shared" si="1"/>
        <v>0</v>
      </c>
      <c r="I23" s="64">
        <f t="shared" si="2"/>
        <v>0</v>
      </c>
      <c r="J23" s="116"/>
    </row>
    <row r="24" spans="2:10" ht="12.75">
      <c r="B24" s="56" t="s">
        <v>164</v>
      </c>
      <c r="C24" s="111">
        <v>0</v>
      </c>
      <c r="D24" s="112">
        <v>300</v>
      </c>
      <c r="E24" s="113">
        <v>0.5</v>
      </c>
      <c r="F24" s="114"/>
      <c r="G24" s="64">
        <f t="shared" si="0"/>
        <v>0</v>
      </c>
      <c r="H24" s="64">
        <f t="shared" si="1"/>
        <v>0</v>
      </c>
      <c r="I24" s="64">
        <f t="shared" si="2"/>
        <v>0</v>
      </c>
      <c r="J24" s="116"/>
    </row>
    <row r="25" spans="2:10" ht="12.75">
      <c r="B25" s="56" t="s">
        <v>165</v>
      </c>
      <c r="C25" s="111">
        <v>0</v>
      </c>
      <c r="D25" s="112">
        <v>200</v>
      </c>
      <c r="E25" s="113">
        <v>0.5</v>
      </c>
      <c r="F25" s="114"/>
      <c r="G25" s="64">
        <f t="shared" si="0"/>
        <v>0</v>
      </c>
      <c r="H25" s="64">
        <f t="shared" si="1"/>
        <v>0</v>
      </c>
      <c r="I25" s="64">
        <f t="shared" si="2"/>
        <v>0</v>
      </c>
      <c r="J25" s="116"/>
    </row>
    <row r="26" spans="2:10" ht="25.5">
      <c r="B26" s="56" t="s">
        <v>166</v>
      </c>
      <c r="C26" s="111">
        <v>0</v>
      </c>
      <c r="D26" s="112">
        <v>100</v>
      </c>
      <c r="E26" s="113">
        <v>0.25</v>
      </c>
      <c r="F26" s="114"/>
      <c r="G26" s="64">
        <f t="shared" si="0"/>
        <v>0</v>
      </c>
      <c r="H26" s="64">
        <f t="shared" si="1"/>
        <v>0</v>
      </c>
      <c r="I26" s="64">
        <f t="shared" si="2"/>
        <v>0</v>
      </c>
      <c r="J26" s="116"/>
    </row>
    <row r="27" spans="2:10" ht="25.5">
      <c r="B27" s="56" t="s">
        <v>167</v>
      </c>
      <c r="C27" s="111">
        <v>0</v>
      </c>
      <c r="D27" s="112">
        <v>100</v>
      </c>
      <c r="E27" s="113">
        <v>0.25</v>
      </c>
      <c r="F27" s="114"/>
      <c r="G27" s="64">
        <f t="shared" si="0"/>
        <v>0</v>
      </c>
      <c r="H27" s="64">
        <f t="shared" si="1"/>
        <v>0</v>
      </c>
      <c r="I27" s="64">
        <f t="shared" si="2"/>
        <v>0</v>
      </c>
      <c r="J27" s="116"/>
    </row>
    <row r="28" spans="2:10" ht="12.75">
      <c r="B28" s="56" t="s">
        <v>183</v>
      </c>
      <c r="C28" s="111">
        <v>0</v>
      </c>
      <c r="D28" s="112">
        <v>10</v>
      </c>
      <c r="E28" s="113">
        <v>0.08333333333333333</v>
      </c>
      <c r="F28" s="114"/>
      <c r="G28" s="64">
        <f t="shared" si="0"/>
        <v>0</v>
      </c>
      <c r="H28" s="64">
        <f t="shared" si="1"/>
        <v>0</v>
      </c>
      <c r="I28" s="64">
        <f t="shared" si="2"/>
        <v>0</v>
      </c>
      <c r="J28" s="116"/>
    </row>
    <row r="29" spans="2:10" ht="12.75">
      <c r="B29" s="56" t="s">
        <v>171</v>
      </c>
      <c r="C29" s="111">
        <v>0</v>
      </c>
      <c r="D29" s="112">
        <v>0</v>
      </c>
      <c r="E29" s="113">
        <v>1.6666666666666667</v>
      </c>
      <c r="F29" s="114"/>
      <c r="G29" s="64">
        <f t="shared" si="0"/>
        <v>0</v>
      </c>
      <c r="H29" s="64">
        <f t="shared" si="1"/>
        <v>0</v>
      </c>
      <c r="I29" s="64">
        <f t="shared" si="2"/>
        <v>0</v>
      </c>
      <c r="J29" s="116"/>
    </row>
    <row r="30" spans="2:10" ht="12.75">
      <c r="B30" s="56" t="s">
        <v>207</v>
      </c>
      <c r="C30" s="111">
        <v>0</v>
      </c>
      <c r="D30" s="112">
        <v>200</v>
      </c>
      <c r="E30" s="113">
        <v>0.08333333333333333</v>
      </c>
      <c r="F30" s="114"/>
      <c r="G30" s="64">
        <f>IF(F30=$B$4,E30,0)</f>
        <v>0</v>
      </c>
      <c r="H30" s="64">
        <f>IF(F30=$B$5,E30,0)</f>
        <v>0</v>
      </c>
      <c r="I30" s="64">
        <f>IF(F30=$B$6,E30,0)</f>
        <v>0</v>
      </c>
      <c r="J30" s="116"/>
    </row>
    <row r="31" spans="2:10" ht="25.5">
      <c r="B31" s="56" t="s">
        <v>208</v>
      </c>
      <c r="C31" s="111">
        <v>0</v>
      </c>
      <c r="D31" s="112">
        <v>600</v>
      </c>
      <c r="E31" s="113">
        <v>0.25</v>
      </c>
      <c r="F31" s="114"/>
      <c r="G31" s="64">
        <f>IF(F31=$B$4,E31,0)</f>
        <v>0</v>
      </c>
      <c r="H31" s="64">
        <f>IF(F31=$B$5,E31,0)</f>
        <v>0</v>
      </c>
      <c r="I31" s="64">
        <f>IF(F31=$B$6,E31,0)</f>
        <v>0</v>
      </c>
      <c r="J31" s="116"/>
    </row>
    <row r="32" spans="8:10" ht="12.75">
      <c r="H32" s="64"/>
      <c r="I32" s="64"/>
      <c r="J32" s="15"/>
    </row>
    <row r="33" spans="1:9" s="15" customFormat="1" ht="12.75">
      <c r="A33" s="15" t="s">
        <v>152</v>
      </c>
      <c r="B33" s="55"/>
      <c r="C33" s="49"/>
      <c r="D33" s="50"/>
      <c r="E33" s="58"/>
      <c r="F33" s="33"/>
      <c r="G33" s="64"/>
      <c r="H33" s="64"/>
      <c r="I33" s="64"/>
    </row>
    <row r="34" spans="2:10" ht="12.75">
      <c r="B34" s="56" t="s">
        <v>117</v>
      </c>
      <c r="C34" s="111">
        <v>1500</v>
      </c>
      <c r="D34" s="112">
        <v>500</v>
      </c>
      <c r="E34" s="113">
        <v>0.625</v>
      </c>
      <c r="F34" s="114"/>
      <c r="G34" s="64">
        <f t="shared" si="0"/>
        <v>0</v>
      </c>
      <c r="H34" s="64">
        <f t="shared" si="1"/>
        <v>0</v>
      </c>
      <c r="I34" s="64">
        <f t="shared" si="2"/>
        <v>0</v>
      </c>
      <c r="J34" s="116"/>
    </row>
    <row r="35" spans="2:10" ht="25.5">
      <c r="B35" s="56" t="s">
        <v>181</v>
      </c>
      <c r="C35" s="111">
        <v>0</v>
      </c>
      <c r="D35" s="112">
        <v>500</v>
      </c>
      <c r="E35" s="113">
        <v>0.5</v>
      </c>
      <c r="F35" s="114"/>
      <c r="G35" s="64">
        <f t="shared" si="0"/>
        <v>0</v>
      </c>
      <c r="H35" s="64">
        <f t="shared" si="1"/>
        <v>0</v>
      </c>
      <c r="I35" s="64">
        <f t="shared" si="2"/>
        <v>0</v>
      </c>
      <c r="J35" s="116"/>
    </row>
    <row r="36" spans="2:10" ht="12.75">
      <c r="B36" s="56" t="s">
        <v>162</v>
      </c>
      <c r="C36" s="111">
        <v>1080</v>
      </c>
      <c r="D36" s="112" t="s">
        <v>263</v>
      </c>
      <c r="E36" s="113">
        <v>0.9166666666666666</v>
      </c>
      <c r="F36" s="114"/>
      <c r="G36" s="64">
        <f t="shared" si="0"/>
        <v>0</v>
      </c>
      <c r="H36" s="64">
        <f t="shared" si="1"/>
        <v>0</v>
      </c>
      <c r="I36" s="64">
        <f t="shared" si="2"/>
        <v>0</v>
      </c>
      <c r="J36" s="116"/>
    </row>
    <row r="37" spans="2:10" ht="25.5">
      <c r="B37" s="56" t="s">
        <v>182</v>
      </c>
      <c r="C37" s="111">
        <v>0</v>
      </c>
      <c r="D37" s="112">
        <v>500</v>
      </c>
      <c r="E37" s="113">
        <v>0.5</v>
      </c>
      <c r="F37" s="114"/>
      <c r="G37" s="64">
        <f t="shared" si="0"/>
        <v>0</v>
      </c>
      <c r="H37" s="64">
        <f t="shared" si="1"/>
        <v>0</v>
      </c>
      <c r="I37" s="64">
        <f t="shared" si="2"/>
        <v>0</v>
      </c>
      <c r="J37" s="116"/>
    </row>
    <row r="38" spans="2:10" ht="12.75">
      <c r="B38" s="56" t="s">
        <v>185</v>
      </c>
      <c r="C38" s="111">
        <v>0</v>
      </c>
      <c r="D38" s="112">
        <v>200</v>
      </c>
      <c r="E38" s="113">
        <v>0.16666666666666666</v>
      </c>
      <c r="F38" s="114"/>
      <c r="G38" s="64">
        <f t="shared" si="0"/>
        <v>0</v>
      </c>
      <c r="H38" s="64">
        <f t="shared" si="1"/>
        <v>0</v>
      </c>
      <c r="I38" s="64">
        <f t="shared" si="2"/>
        <v>0</v>
      </c>
      <c r="J38" s="116"/>
    </row>
    <row r="39" spans="2:10" ht="12.75">
      <c r="B39" s="56" t="s">
        <v>186</v>
      </c>
      <c r="C39" s="111">
        <v>0</v>
      </c>
      <c r="D39" s="112" t="s">
        <v>263</v>
      </c>
      <c r="E39" s="113">
        <v>0.25</v>
      </c>
      <c r="F39" s="114"/>
      <c r="G39" s="64">
        <f t="shared" si="0"/>
        <v>0</v>
      </c>
      <c r="H39" s="64">
        <f t="shared" si="1"/>
        <v>0</v>
      </c>
      <c r="I39" s="64">
        <f t="shared" si="2"/>
        <v>0</v>
      </c>
      <c r="J39" s="116"/>
    </row>
    <row r="40" spans="2:10" ht="12.75">
      <c r="B40" s="56" t="s">
        <v>161</v>
      </c>
      <c r="C40" s="111">
        <v>0</v>
      </c>
      <c r="D40" s="112" t="s">
        <v>263</v>
      </c>
      <c r="E40" s="113">
        <v>1.3333333333333333</v>
      </c>
      <c r="F40" s="114"/>
      <c r="G40" s="64">
        <f t="shared" si="0"/>
        <v>0</v>
      </c>
      <c r="H40" s="64">
        <f t="shared" si="1"/>
        <v>0</v>
      </c>
      <c r="I40" s="64">
        <f t="shared" si="2"/>
        <v>0</v>
      </c>
      <c r="J40" s="116"/>
    </row>
    <row r="41" spans="2:10" ht="12.75">
      <c r="B41" s="56" t="s">
        <v>163</v>
      </c>
      <c r="C41" s="111">
        <v>0</v>
      </c>
      <c r="D41" s="112">
        <v>100</v>
      </c>
      <c r="E41" s="113">
        <v>0.25</v>
      </c>
      <c r="F41" s="114"/>
      <c r="G41" s="64">
        <f t="shared" si="0"/>
        <v>0</v>
      </c>
      <c r="H41" s="64">
        <f t="shared" si="1"/>
        <v>0</v>
      </c>
      <c r="I41" s="64">
        <f t="shared" si="2"/>
        <v>0</v>
      </c>
      <c r="J41" s="116"/>
    </row>
    <row r="42" spans="2:10" ht="25.5">
      <c r="B42" s="56" t="s">
        <v>168</v>
      </c>
      <c r="C42" s="111">
        <v>0</v>
      </c>
      <c r="D42" s="112">
        <v>50</v>
      </c>
      <c r="E42" s="113">
        <v>0.25</v>
      </c>
      <c r="F42" s="114"/>
      <c r="G42" s="64">
        <f t="shared" si="0"/>
        <v>0</v>
      </c>
      <c r="H42" s="64">
        <f t="shared" si="1"/>
        <v>0</v>
      </c>
      <c r="I42" s="64">
        <f t="shared" si="2"/>
        <v>0</v>
      </c>
      <c r="J42" s="116"/>
    </row>
    <row r="43" spans="2:10" ht="12.75">
      <c r="B43" s="56" t="s">
        <v>183</v>
      </c>
      <c r="C43" s="111">
        <v>0</v>
      </c>
      <c r="D43" s="112">
        <v>10</v>
      </c>
      <c r="E43" s="113">
        <v>0.08333333333333333</v>
      </c>
      <c r="F43" s="114"/>
      <c r="G43" s="64">
        <f t="shared" si="0"/>
        <v>0</v>
      </c>
      <c r="H43" s="64">
        <f t="shared" si="1"/>
        <v>0</v>
      </c>
      <c r="I43" s="64">
        <f t="shared" si="2"/>
        <v>0</v>
      </c>
      <c r="J43" s="116"/>
    </row>
    <row r="44" spans="2:10" ht="12.75">
      <c r="B44" s="56" t="s">
        <v>178</v>
      </c>
      <c r="C44" s="111">
        <v>0</v>
      </c>
      <c r="D44" s="112">
        <v>250</v>
      </c>
      <c r="E44" s="113">
        <v>0.5</v>
      </c>
      <c r="F44" s="114"/>
      <c r="G44" s="64">
        <f t="shared" si="0"/>
        <v>0</v>
      </c>
      <c r="H44" s="64">
        <f t="shared" si="1"/>
        <v>0</v>
      </c>
      <c r="I44" s="64">
        <f t="shared" si="2"/>
        <v>0</v>
      </c>
      <c r="J44" s="116"/>
    </row>
    <row r="45" spans="2:10" ht="25.5">
      <c r="B45" s="56" t="s">
        <v>175</v>
      </c>
      <c r="C45" s="111">
        <v>0</v>
      </c>
      <c r="D45" s="112">
        <v>4000</v>
      </c>
      <c r="E45" s="113">
        <v>1.25</v>
      </c>
      <c r="F45" s="114"/>
      <c r="G45" s="64">
        <f t="shared" si="0"/>
        <v>0</v>
      </c>
      <c r="H45" s="64">
        <f t="shared" si="1"/>
        <v>0</v>
      </c>
      <c r="I45" s="64">
        <f t="shared" si="2"/>
        <v>0</v>
      </c>
      <c r="J45" s="116"/>
    </row>
    <row r="46" spans="2:10" ht="12.75">
      <c r="B46" s="56" t="s">
        <v>176</v>
      </c>
      <c r="C46" s="111">
        <v>0</v>
      </c>
      <c r="D46" s="112">
        <v>0</v>
      </c>
      <c r="E46" s="113">
        <v>0.5</v>
      </c>
      <c r="F46" s="114"/>
      <c r="G46" s="64">
        <f t="shared" si="0"/>
        <v>0</v>
      </c>
      <c r="H46" s="64">
        <f t="shared" si="1"/>
        <v>0</v>
      </c>
      <c r="I46" s="64">
        <f t="shared" si="2"/>
        <v>0</v>
      </c>
      <c r="J46" s="116"/>
    </row>
    <row r="47" spans="2:10" ht="12.75">
      <c r="B47" s="56" t="s">
        <v>177</v>
      </c>
      <c r="C47" s="111">
        <v>3680</v>
      </c>
      <c r="D47" s="112">
        <v>3000</v>
      </c>
      <c r="E47" s="113">
        <v>0.5833333333333334</v>
      </c>
      <c r="F47" s="114"/>
      <c r="G47" s="64">
        <f t="shared" si="0"/>
        <v>0</v>
      </c>
      <c r="H47" s="64">
        <f t="shared" si="1"/>
        <v>0</v>
      </c>
      <c r="I47" s="64">
        <f t="shared" si="2"/>
        <v>0</v>
      </c>
      <c r="J47" s="116"/>
    </row>
    <row r="48" spans="2:10" ht="12.75">
      <c r="B48" s="56" t="s">
        <v>172</v>
      </c>
      <c r="C48" s="111">
        <v>390</v>
      </c>
      <c r="D48" s="112">
        <v>173.1</v>
      </c>
      <c r="E48" s="113">
        <v>0.3333333333333333</v>
      </c>
      <c r="F48" s="114"/>
      <c r="G48" s="64">
        <f t="shared" si="0"/>
        <v>0</v>
      </c>
      <c r="H48" s="64">
        <f t="shared" si="1"/>
        <v>0</v>
      </c>
      <c r="I48" s="64">
        <f t="shared" si="2"/>
        <v>0</v>
      </c>
      <c r="J48" s="116"/>
    </row>
    <row r="49" spans="2:10" ht="12.75">
      <c r="B49" s="56" t="s">
        <v>170</v>
      </c>
      <c r="C49" s="111">
        <v>0</v>
      </c>
      <c r="D49" s="112">
        <v>0</v>
      </c>
      <c r="E49" s="113">
        <v>1.25</v>
      </c>
      <c r="F49" s="114"/>
      <c r="G49" s="64">
        <f t="shared" si="0"/>
        <v>0</v>
      </c>
      <c r="H49" s="64">
        <f t="shared" si="1"/>
        <v>0</v>
      </c>
      <c r="I49" s="64">
        <f t="shared" si="2"/>
        <v>0</v>
      </c>
      <c r="J49" s="116"/>
    </row>
    <row r="50" spans="2:10" ht="25.5">
      <c r="B50" s="56" t="s">
        <v>209</v>
      </c>
      <c r="C50" s="111">
        <v>0</v>
      </c>
      <c r="D50" s="112">
        <v>800</v>
      </c>
      <c r="E50" s="113">
        <v>0.3333333333333333</v>
      </c>
      <c r="F50" s="114"/>
      <c r="G50" s="64">
        <f t="shared" si="0"/>
        <v>0</v>
      </c>
      <c r="H50" s="64">
        <f t="shared" si="1"/>
        <v>0</v>
      </c>
      <c r="I50" s="64">
        <f t="shared" si="2"/>
        <v>0</v>
      </c>
      <c r="J50" s="116"/>
    </row>
    <row r="51" spans="8:10" ht="12.75">
      <c r="H51" s="64"/>
      <c r="I51" s="64"/>
      <c r="J51" s="15"/>
    </row>
    <row r="52" spans="1:9" s="15" customFormat="1" ht="12.75">
      <c r="A52" s="15" t="s">
        <v>154</v>
      </c>
      <c r="B52" s="55"/>
      <c r="C52" s="49"/>
      <c r="D52" s="50"/>
      <c r="E52" s="58"/>
      <c r="F52" s="33"/>
      <c r="G52" s="64"/>
      <c r="H52" s="64"/>
      <c r="I52" s="64"/>
    </row>
    <row r="53" spans="2:10" ht="12.75">
      <c r="B53" s="99" t="s">
        <v>264</v>
      </c>
      <c r="C53" s="111">
        <v>0</v>
      </c>
      <c r="D53" s="112">
        <f>Wandbelag!L22</f>
        <v>3361.7052449999996</v>
      </c>
      <c r="E53" s="113">
        <v>1.6666666666666667</v>
      </c>
      <c r="F53" s="114"/>
      <c r="G53" s="64">
        <f>IF(F53=$B$4,E53,0)</f>
        <v>0</v>
      </c>
      <c r="H53" s="64">
        <f>IF(F53=$B$5,E53,0)</f>
        <v>0</v>
      </c>
      <c r="I53" s="64">
        <f>IF(F53=$B$6,E53,0)</f>
        <v>0</v>
      </c>
      <c r="J53" s="116"/>
    </row>
    <row r="54" spans="2:10" ht="12.75">
      <c r="B54" s="56" t="s">
        <v>52</v>
      </c>
      <c r="C54" s="111">
        <v>116.03</v>
      </c>
      <c r="D54" s="112">
        <v>0</v>
      </c>
      <c r="E54" s="113">
        <v>0</v>
      </c>
      <c r="F54" s="114"/>
      <c r="G54" s="64">
        <f t="shared" si="0"/>
        <v>0</v>
      </c>
      <c r="H54" s="64">
        <f t="shared" si="1"/>
        <v>0</v>
      </c>
      <c r="I54" s="64">
        <f t="shared" si="2"/>
        <v>0</v>
      </c>
      <c r="J54" s="116"/>
    </row>
    <row r="55" spans="2:10" ht="12.75">
      <c r="B55" s="56" t="s">
        <v>55</v>
      </c>
      <c r="C55" s="111">
        <v>1384.57</v>
      </c>
      <c r="D55" s="111">
        <v>1450</v>
      </c>
      <c r="E55" s="113">
        <v>2.5</v>
      </c>
      <c r="F55" s="114"/>
      <c r="G55" s="64">
        <f t="shared" si="0"/>
        <v>0</v>
      </c>
      <c r="H55" s="64">
        <f t="shared" si="1"/>
        <v>0</v>
      </c>
      <c r="I55" s="64">
        <f t="shared" si="2"/>
        <v>0</v>
      </c>
      <c r="J55" s="116"/>
    </row>
    <row r="56" spans="2:10" ht="25.5">
      <c r="B56" s="56" t="s">
        <v>295</v>
      </c>
      <c r="C56" s="111">
        <v>0</v>
      </c>
      <c r="D56" s="111">
        <v>0</v>
      </c>
      <c r="E56" s="113">
        <v>1.6666666666666667</v>
      </c>
      <c r="F56" s="114"/>
      <c r="G56" s="64">
        <f t="shared" si="0"/>
        <v>0</v>
      </c>
      <c r="H56" s="64">
        <f t="shared" si="1"/>
        <v>0</v>
      </c>
      <c r="I56" s="64">
        <f t="shared" si="2"/>
        <v>0</v>
      </c>
      <c r="J56" s="116"/>
    </row>
    <row r="57" spans="8:10" ht="12.75">
      <c r="H57" s="64"/>
      <c r="I57" s="64"/>
      <c r="J57" s="15"/>
    </row>
    <row r="58" spans="1:9" s="15" customFormat="1" ht="12">
      <c r="A58" s="15" t="s">
        <v>153</v>
      </c>
      <c r="B58" s="55"/>
      <c r="C58" s="49"/>
      <c r="D58" s="50"/>
      <c r="E58" s="58"/>
      <c r="F58" s="33"/>
      <c r="G58" s="64"/>
      <c r="H58" s="64"/>
      <c r="I58" s="64"/>
    </row>
    <row r="59" spans="2:10" ht="12">
      <c r="B59" s="56" t="s">
        <v>217</v>
      </c>
      <c r="C59" s="111">
        <v>0</v>
      </c>
      <c r="D59" s="111">
        <v>200</v>
      </c>
      <c r="E59" s="113">
        <v>0.16666666666666666</v>
      </c>
      <c r="F59" s="114"/>
      <c r="G59" s="64">
        <f>IF(F59=$B$4,E59,0)</f>
        <v>0</v>
      </c>
      <c r="H59" s="64">
        <f>IF(F59=$B$5,E59,0)</f>
        <v>0</v>
      </c>
      <c r="I59" s="64">
        <f>IF(F59=$B$6,E59,0)</f>
        <v>0</v>
      </c>
      <c r="J59" s="116"/>
    </row>
    <row r="60" spans="2:10" ht="12">
      <c r="B60" s="56" t="s">
        <v>237</v>
      </c>
      <c r="C60" s="111">
        <v>0</v>
      </c>
      <c r="D60" s="111">
        <f>1550*1.19*0.97</f>
        <v>1789.165</v>
      </c>
      <c r="E60" s="113">
        <v>3.75</v>
      </c>
      <c r="F60" s="114"/>
      <c r="G60" s="64">
        <f t="shared" si="0"/>
        <v>0</v>
      </c>
      <c r="H60" s="64">
        <f t="shared" si="1"/>
        <v>0</v>
      </c>
      <c r="I60" s="64">
        <f t="shared" si="2"/>
        <v>0</v>
      </c>
      <c r="J60" s="116"/>
    </row>
    <row r="61" spans="2:10" ht="24">
      <c r="B61" s="56" t="s">
        <v>238</v>
      </c>
      <c r="C61" s="111">
        <v>3975</v>
      </c>
      <c r="D61" s="111">
        <f>(1980+500)*1.19*0.97</f>
        <v>2862.6639999999998</v>
      </c>
      <c r="E61" s="113">
        <v>3.75</v>
      </c>
      <c r="F61" s="114"/>
      <c r="G61" s="64">
        <f>IF(F61=$B$4,E61,0)</f>
        <v>0</v>
      </c>
      <c r="H61" s="64">
        <f>IF(F61=$B$5,E61,0)</f>
        <v>0</v>
      </c>
      <c r="I61" s="64">
        <f>IF(F61=$B$6,E61,0)</f>
        <v>0</v>
      </c>
      <c r="J61" s="116"/>
    </row>
    <row r="62" spans="2:10" ht="24">
      <c r="B62" s="56" t="s">
        <v>239</v>
      </c>
      <c r="C62" s="111">
        <v>0</v>
      </c>
      <c r="D62" s="111">
        <f>(120*24*1.19*0.97)</f>
        <v>3324.3839999999996</v>
      </c>
      <c r="E62" s="113">
        <v>3.75</v>
      </c>
      <c r="F62" s="114"/>
      <c r="G62" s="64">
        <f>IF(F62=$B$4,E62,0)</f>
        <v>0</v>
      </c>
      <c r="H62" s="64">
        <f>IF(F62=$B$5,E62,0)</f>
        <v>0</v>
      </c>
      <c r="I62" s="64">
        <f>IF(F62=$B$6,E62,0)</f>
        <v>0</v>
      </c>
      <c r="J62" s="116"/>
    </row>
    <row r="63" spans="2:10" ht="12">
      <c r="B63" s="56" t="s">
        <v>38</v>
      </c>
      <c r="C63" s="111">
        <v>1120</v>
      </c>
      <c r="D63" s="111">
        <v>1120</v>
      </c>
      <c r="E63" s="113">
        <v>2.0833333333333335</v>
      </c>
      <c r="F63" s="114"/>
      <c r="G63" s="64">
        <f t="shared" si="0"/>
        <v>0</v>
      </c>
      <c r="H63" s="64">
        <f t="shared" si="1"/>
        <v>0</v>
      </c>
      <c r="I63" s="64">
        <f t="shared" si="2"/>
        <v>0</v>
      </c>
      <c r="J63" s="116"/>
    </row>
    <row r="64" spans="2:10" ht="12">
      <c r="B64" s="56" t="s">
        <v>39</v>
      </c>
      <c r="C64" s="111">
        <v>2500</v>
      </c>
      <c r="D64" s="111">
        <v>2500</v>
      </c>
      <c r="E64" s="113">
        <v>6.25</v>
      </c>
      <c r="F64" s="114"/>
      <c r="G64" s="64">
        <f t="shared" si="0"/>
        <v>0</v>
      </c>
      <c r="H64" s="64">
        <f t="shared" si="1"/>
        <v>0</v>
      </c>
      <c r="I64" s="64">
        <f t="shared" si="2"/>
        <v>0</v>
      </c>
      <c r="J64" s="116"/>
    </row>
    <row r="65" spans="2:10" ht="12">
      <c r="B65" s="56" t="s">
        <v>205</v>
      </c>
      <c r="C65" s="111">
        <v>1500</v>
      </c>
      <c r="D65" s="111">
        <v>1200</v>
      </c>
      <c r="E65" s="113">
        <v>1.6666666666666667</v>
      </c>
      <c r="F65" s="114"/>
      <c r="G65" s="64">
        <f>IF(F65=$B$4,E65,0)</f>
        <v>0</v>
      </c>
      <c r="H65" s="64">
        <f>IF(F65=$B$5,E65,0)</f>
        <v>0</v>
      </c>
      <c r="I65" s="64">
        <f>IF(F65=$B$6,E65,0)</f>
        <v>0</v>
      </c>
      <c r="J65" s="116"/>
    </row>
    <row r="66" spans="8:10" ht="12">
      <c r="H66" s="64"/>
      <c r="I66" s="64"/>
      <c r="J66" s="15"/>
    </row>
    <row r="67" spans="1:10" ht="12">
      <c r="A67" s="15" t="s">
        <v>179</v>
      </c>
      <c r="H67" s="64"/>
      <c r="I67" s="64"/>
      <c r="J67" s="15"/>
    </row>
    <row r="68" spans="2:10" ht="12">
      <c r="B68" s="56" t="s">
        <v>180</v>
      </c>
      <c r="C68" s="111">
        <v>0</v>
      </c>
      <c r="D68" s="112">
        <v>0</v>
      </c>
      <c r="E68" s="113">
        <v>1</v>
      </c>
      <c r="F68" s="114"/>
      <c r="G68" s="64">
        <f t="shared" si="0"/>
        <v>0</v>
      </c>
      <c r="H68" s="64">
        <f t="shared" si="1"/>
        <v>0</v>
      </c>
      <c r="I68" s="64">
        <f t="shared" si="2"/>
        <v>0</v>
      </c>
      <c r="J68" s="116"/>
    </row>
    <row r="69" spans="8:9" ht="12">
      <c r="H69" s="64"/>
      <c r="I69" s="64"/>
    </row>
    <row r="70" spans="8:9" ht="12">
      <c r="H70" s="64"/>
      <c r="I70" s="64"/>
    </row>
    <row r="71" spans="8:9" ht="12">
      <c r="H71" s="64"/>
      <c r="I71" s="64"/>
    </row>
    <row r="72" spans="8:9" ht="12">
      <c r="H72" s="64"/>
      <c r="I72" s="64"/>
    </row>
    <row r="73" spans="8:9" ht="12">
      <c r="H73" s="64"/>
      <c r="I73" s="64"/>
    </row>
    <row r="74" spans="8:9" ht="12">
      <c r="H74" s="64"/>
      <c r="I74" s="64"/>
    </row>
    <row r="75" spans="8:9" ht="12">
      <c r="H75" s="64"/>
      <c r="I75" s="64"/>
    </row>
    <row r="76" spans="8:9" ht="12">
      <c r="H76" s="64"/>
      <c r="I76" s="64"/>
    </row>
    <row r="77" spans="8:9" ht="12">
      <c r="H77" s="64"/>
      <c r="I77" s="64"/>
    </row>
    <row r="78" spans="8:9" ht="12">
      <c r="H78" s="64"/>
      <c r="I78" s="64"/>
    </row>
    <row r="79" spans="8:9" ht="12">
      <c r="H79" s="64"/>
      <c r="I79" s="64"/>
    </row>
    <row r="80" spans="8:9" ht="12">
      <c r="H80" s="64"/>
      <c r="I80" s="64"/>
    </row>
    <row r="81" spans="8:9" ht="12">
      <c r="H81" s="64"/>
      <c r="I81" s="64"/>
    </row>
    <row r="82" spans="8:9" ht="12">
      <c r="H82" s="64"/>
      <c r="I82" s="64"/>
    </row>
    <row r="83" spans="8:9" ht="12">
      <c r="H83" s="64"/>
      <c r="I83" s="64"/>
    </row>
    <row r="84" spans="8:9" ht="12">
      <c r="H84" s="64"/>
      <c r="I84" s="64"/>
    </row>
    <row r="85" spans="8:9" ht="12">
      <c r="H85" s="64"/>
      <c r="I85" s="64"/>
    </row>
    <row r="86" spans="8:9" ht="12">
      <c r="H86" s="64"/>
      <c r="I86" s="64"/>
    </row>
  </sheetData>
  <sheetProtection/>
  <printOptions/>
  <pageMargins left="0.75" right="0.75" top="1" bottom="1" header="0.4921259845" footer="0.4921259845"/>
  <pageSetup fitToHeight="1" fitToWidth="1" horizontalDpi="300" verticalDpi="300" orientation="portrait" paperSize="9" scale="77"/>
  <headerFooter alignWithMargins="0">
    <oddHeader>&amp;C&amp;"Arial,Fett"&amp;14Eigenleistungen BV Ziemer</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E10"/>
  <sheetViews>
    <sheetView workbookViewId="0" topLeftCell="A1">
      <selection activeCell="E6" sqref="E6"/>
    </sheetView>
  </sheetViews>
  <sheetFormatPr defaultColWidth="11.421875" defaultRowHeight="12.75"/>
  <cols>
    <col min="1" max="1" width="21.7109375" style="0" customWidth="1"/>
    <col min="2" max="2" width="46.00390625" style="70" bestFit="1" customWidth="1"/>
    <col min="3" max="3" width="10.7109375" style="0" bestFit="1" customWidth="1"/>
    <col min="4" max="4" width="11.421875" style="3" customWidth="1"/>
    <col min="5" max="5" width="20.140625" style="78" bestFit="1" customWidth="1"/>
  </cols>
  <sheetData>
    <row r="1" spans="2:4" ht="12">
      <c r="B1" s="72" t="s">
        <v>198</v>
      </c>
      <c r="C1" s="15"/>
      <c r="D1" s="17">
        <f>SUM(D5:D194)</f>
        <v>13800</v>
      </c>
    </row>
    <row r="3" spans="1:5" ht="12">
      <c r="A3" s="73" t="s">
        <v>189</v>
      </c>
      <c r="B3" s="74" t="s">
        <v>193</v>
      </c>
      <c r="C3" s="73" t="s">
        <v>194</v>
      </c>
      <c r="D3" s="75" t="s">
        <v>195</v>
      </c>
      <c r="E3" s="76" t="s">
        <v>196</v>
      </c>
    </row>
    <row r="5" spans="1:5" s="71" customFormat="1" ht="12">
      <c r="A5" s="108" t="s">
        <v>296</v>
      </c>
      <c r="B5" s="108" t="s">
        <v>300</v>
      </c>
      <c r="C5" s="108" t="s">
        <v>190</v>
      </c>
      <c r="D5" s="109">
        <v>1000</v>
      </c>
      <c r="E5" s="110" t="s">
        <v>318</v>
      </c>
    </row>
    <row r="6" spans="1:5" s="71" customFormat="1" ht="12">
      <c r="A6" s="108" t="s">
        <v>297</v>
      </c>
      <c r="B6" s="108" t="s">
        <v>301</v>
      </c>
      <c r="C6" s="108" t="s">
        <v>192</v>
      </c>
      <c r="D6" s="109">
        <v>1000</v>
      </c>
      <c r="E6" s="110"/>
    </row>
    <row r="7" spans="1:5" s="71" customFormat="1" ht="12">
      <c r="A7" s="108" t="s">
        <v>298</v>
      </c>
      <c r="B7" s="108" t="s">
        <v>302</v>
      </c>
      <c r="C7" s="108"/>
      <c r="D7" s="109">
        <v>1000</v>
      </c>
      <c r="E7" s="110"/>
    </row>
    <row r="8" spans="1:5" s="71" customFormat="1" ht="12">
      <c r="A8" s="108" t="s">
        <v>299</v>
      </c>
      <c r="B8" s="108" t="s">
        <v>303</v>
      </c>
      <c r="C8" s="108"/>
      <c r="D8" s="109">
        <v>500</v>
      </c>
      <c r="E8" s="110"/>
    </row>
    <row r="9" spans="1:5" s="71" customFormat="1" ht="12">
      <c r="A9" s="108" t="s">
        <v>203</v>
      </c>
      <c r="B9" s="108"/>
      <c r="C9" s="108"/>
      <c r="D9" s="109">
        <v>300</v>
      </c>
      <c r="E9" s="110"/>
    </row>
    <row r="10" spans="1:5" s="71" customFormat="1" ht="24">
      <c r="A10" s="108" t="s">
        <v>197</v>
      </c>
      <c r="B10" s="108"/>
      <c r="C10" s="108"/>
      <c r="D10" s="109">
        <v>10000</v>
      </c>
      <c r="E10" s="110"/>
    </row>
  </sheetData>
  <sheetProtection/>
  <printOptions/>
  <pageMargins left="0.75" right="0.75" top="1" bottom="1" header="0.4921259845" footer="0.492125984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Olaf Schmitz</dc:creator>
  <cp:keywords/>
  <dc:description/>
  <cp:lastModifiedBy>Schmitz, Olaf</cp:lastModifiedBy>
  <cp:lastPrinted>2008-11-30T21:54:39Z</cp:lastPrinted>
  <dcterms:created xsi:type="dcterms:W3CDTF">2008-03-02T10:44:07Z</dcterms:created>
  <dcterms:modified xsi:type="dcterms:W3CDTF">2015-06-02T11:02:04Z</dcterms:modified>
  <cp:category/>
  <cp:version/>
  <cp:contentType/>
  <cp:contentStatus/>
</cp:coreProperties>
</file>